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975" activeTab="4"/>
  </bookViews>
  <sheets>
    <sheet name="Aires" sheetId="1" r:id="rId1"/>
    <sheet name="Tubos" sheetId="2" r:id="rId2"/>
    <sheet name="Calles Internas" sheetId="5" r:id="rId3"/>
    <sheet name="Proyectos Especiales" sheetId="3" r:id="rId4"/>
    <sheet name="RESUMEN" sheetId="4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44525"/>
</workbook>
</file>

<file path=xl/calcChain.xml><?xml version="1.0" encoding="utf-8"?>
<calcChain xmlns="http://schemas.openxmlformats.org/spreadsheetml/2006/main">
  <c r="H4" i="5" l="1"/>
  <c r="K5" i="2"/>
  <c r="D7" i="4"/>
  <c r="H2" i="5"/>
  <c r="H5" i="5" l="1"/>
  <c r="H3" i="5"/>
  <c r="I3" i="1"/>
  <c r="I27" i="3" l="1"/>
  <c r="H27" i="3"/>
  <c r="I17" i="3"/>
  <c r="J17" i="3"/>
  <c r="K17" i="3"/>
  <c r="L17" i="3"/>
  <c r="N17" i="3"/>
  <c r="H17" i="3"/>
  <c r="H6" i="3"/>
  <c r="J4" i="3" l="1"/>
  <c r="J25" i="3"/>
  <c r="P15" i="3"/>
  <c r="H26" i="3"/>
  <c r="I16" i="3"/>
  <c r="K16" i="3"/>
  <c r="J16" i="3"/>
  <c r="L16" i="3"/>
  <c r="N16" i="3"/>
  <c r="H16" i="3"/>
  <c r="H5" i="3"/>
  <c r="G32" i="3" l="1"/>
  <c r="P16" i="3"/>
  <c r="P17" i="3"/>
  <c r="J26" i="3"/>
  <c r="J27" i="3"/>
  <c r="J5" i="3"/>
  <c r="J6" i="3"/>
  <c r="I26" i="3"/>
  <c r="J15" i="4"/>
  <c r="I28" i="3" l="1"/>
  <c r="J28" i="3"/>
  <c r="P18" i="3"/>
  <c r="L18" i="3"/>
  <c r="J18" i="3"/>
  <c r="H18" i="3"/>
  <c r="H7" i="3"/>
  <c r="H28" i="3"/>
  <c r="N18" i="3"/>
  <c r="K18" i="3"/>
  <c r="I18" i="3"/>
  <c r="J7" i="3"/>
  <c r="G34" i="3"/>
  <c r="G35" i="3" s="1"/>
  <c r="G33" i="3" l="1"/>
  <c r="L1" i="2"/>
  <c r="K1" i="2"/>
  <c r="C18" i="2"/>
  <c r="D18" i="2" s="1"/>
  <c r="B18" i="2"/>
  <c r="A18" i="2"/>
  <c r="C17" i="2"/>
  <c r="B17" i="2"/>
  <c r="D17" i="2" s="1"/>
  <c r="A17" i="2"/>
  <c r="C16" i="2"/>
  <c r="B16" i="2"/>
  <c r="A16" i="2"/>
  <c r="C15" i="2"/>
  <c r="B15" i="2"/>
  <c r="B19" i="2" s="1"/>
  <c r="A15" i="2"/>
  <c r="E18" i="2"/>
  <c r="C19" i="2"/>
  <c r="D16" i="2" l="1"/>
  <c r="E16" i="2" s="1"/>
  <c r="F16" i="2" s="1"/>
  <c r="E17" i="2"/>
  <c r="D15" i="2"/>
  <c r="E15" i="2" s="1"/>
  <c r="E19" i="2" l="1"/>
  <c r="G16" i="2"/>
  <c r="F19" i="2"/>
  <c r="F20" i="2" s="1"/>
  <c r="L3" i="2" s="1"/>
  <c r="L5" i="2" s="1"/>
  <c r="L6" i="2" s="1"/>
  <c r="L4" i="2" l="1"/>
  <c r="G19" i="2"/>
  <c r="A6" i="2" l="1"/>
  <c r="B6" i="2"/>
  <c r="C6" i="2"/>
  <c r="A7" i="2"/>
  <c r="B7" i="2"/>
  <c r="C7" i="2"/>
  <c r="E7" i="2" s="1"/>
  <c r="A8" i="2"/>
  <c r="B8" i="2"/>
  <c r="C8" i="2"/>
  <c r="E8" i="2" s="1"/>
  <c r="B5" i="2"/>
  <c r="C5" i="2"/>
  <c r="A5" i="2"/>
  <c r="C9" i="2" l="1"/>
  <c r="B9" i="2"/>
  <c r="D5" i="2"/>
  <c r="D7" i="2"/>
  <c r="D8" i="2"/>
  <c r="E5" i="2" s="1"/>
  <c r="F5" i="2" s="1"/>
  <c r="D6" i="2"/>
  <c r="G5" i="2" l="1"/>
  <c r="E6" i="2"/>
  <c r="E9" i="2" l="1"/>
  <c r="F6" i="2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3" i="1"/>
  <c r="B4" i="1"/>
  <c r="C4" i="1"/>
  <c r="D4" i="1"/>
  <c r="E4" i="1"/>
  <c r="B5" i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C3" i="1"/>
  <c r="D3" i="1"/>
  <c r="E3" i="1"/>
  <c r="B3" i="1"/>
  <c r="G6" i="2" l="1"/>
  <c r="F9" i="2"/>
  <c r="C29" i="1"/>
  <c r="H3" i="1" s="1"/>
  <c r="D29" i="1"/>
  <c r="E29" i="1"/>
  <c r="B29" i="1"/>
  <c r="C30" i="1"/>
  <c r="D30" i="1"/>
  <c r="E30" i="1"/>
  <c r="B30" i="1"/>
  <c r="B31" i="1" l="1"/>
  <c r="D31" i="1"/>
  <c r="F10" i="2"/>
  <c r="K3" i="2" s="1"/>
  <c r="K6" i="2" s="1"/>
  <c r="G9" i="2"/>
  <c r="I4" i="1"/>
  <c r="J4" i="1" s="1"/>
  <c r="H4" i="1"/>
  <c r="I6" i="1" l="1"/>
  <c r="I8" i="1" s="1"/>
  <c r="I9" i="1" s="1"/>
  <c r="H6" i="1"/>
  <c r="H8" i="1" s="1"/>
  <c r="H9" i="1" s="1"/>
  <c r="K4" i="2"/>
  <c r="H7" i="1"/>
  <c r="I7" i="1" l="1"/>
  <c r="D9" i="4"/>
  <c r="D11" i="4"/>
  <c r="D12" i="4" s="1"/>
  <c r="D8" i="4"/>
</calcChain>
</file>

<file path=xl/comments1.xml><?xml version="1.0" encoding="utf-8"?>
<comments xmlns="http://schemas.openxmlformats.org/spreadsheetml/2006/main">
  <authors>
    <author>Nicolas Biurrun</author>
  </authors>
  <commentList>
    <comment ref="G6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20% de pérdidas totales del sistema eléctrico (BEN 2014)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consumo medio anual por vivienda de 2.969 kWh (Informes Técnicos SE)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Con una conversión directa de energía kWh a kcal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precio de 17 US$/MMBTU</t>
        </r>
      </text>
    </comment>
  </commentList>
</comments>
</file>

<file path=xl/comments2.xml><?xml version="1.0" encoding="utf-8"?>
<comments xmlns="http://schemas.openxmlformats.org/spreadsheetml/2006/main">
  <authors>
    <author>Nicolas Biurrun</author>
  </authors>
  <commentList>
    <comment ref="J3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20% de pérdidas totales del sistema eléctrico (BEN 2014)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consumo medio anual por vivienda de 2.969 kWh (Informes Técnicos SE)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Con una conversión directa de energía kWh a kcal</t>
        </r>
      </text>
    </comment>
    <comment ref="J6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precio de 17 US$/MMBTU</t>
        </r>
      </text>
    </comment>
  </commentList>
</comments>
</file>

<file path=xl/comments3.xml><?xml version="1.0" encoding="utf-8"?>
<comments xmlns="http://schemas.openxmlformats.org/spreadsheetml/2006/main">
  <authors>
    <author>Nicolas Biurrun</author>
  </authors>
  <commentList>
    <comment ref="G1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Se tomó un promedio país de 11 horas de iluminación artificial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20% de pérdidas totales del sistema eléctrico (BEN 2014)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consumo medio anual por vivienda de 2.969 kWh (Informes Técnicos SE)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Con una conversión directa de energía kWh a kcal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precio de 17 US$/MMBTU</t>
        </r>
      </text>
    </comment>
  </commentList>
</comments>
</file>

<file path=xl/comments4.xml><?xml version="1.0" encoding="utf-8"?>
<comments xmlns="http://schemas.openxmlformats.org/spreadsheetml/2006/main">
  <authors>
    <author>Nicolas Biurrun</author>
  </authors>
  <commentList>
    <comment ref="G4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20% de pérdidas totales del sistema eléctrico (BEN 2014)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consumo medio anual por vivienda de 2.969 kWh (Informes Técnicos SE)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Con una conversión directa de energía kWh a kcal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precio de 17 US$/MMBTU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20% de pérdidas totales del sistema eléctrico (BEN 2014)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consumo medio anual por vivienda de 2.969 kWh (Informes Técnicos SE)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Con una conversión directa de energía kWh a kcal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precio de 17 US$/MMBTU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20% de pérdidas totales del sistema eléctrico (BEN 2014)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consumo medio anual por vivienda de 2.969 kWh (Informes Técnicos SE)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Con una conversión directa de energía kWh a kcal</t>
        </r>
      </text>
    </comment>
    <comment ref="G28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precio de 17 US$/MMBTU</t>
        </r>
      </text>
    </comment>
    <comment ref="F32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20% de pérdidas totales del sistema eléctrico (BEN 2014)</t>
        </r>
      </text>
    </comment>
    <comment ref="F33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consumo medio anual por vivienda de 2.969 kWh (Informes Técnicos SE)</t>
        </r>
      </text>
    </comment>
    <comment ref="F34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Con una conversión directa de energía kWh a kcal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precio de 17 US$/MMBTU</t>
        </r>
      </text>
    </comment>
  </commentList>
</comments>
</file>

<file path=xl/comments5.xml><?xml version="1.0" encoding="utf-8"?>
<comments xmlns="http://schemas.openxmlformats.org/spreadsheetml/2006/main">
  <authors>
    <author>Nicolas Biurrun</author>
  </authors>
  <commentList>
    <comment ref="C7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20% de pérdidas totales del sistema eléctrico (BEN 2014)</t>
        </r>
      </text>
    </comment>
    <comment ref="C8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consumo medio anual por vivienda de 2.969 kWh (Informes Técnicos SE)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Con una conversión directa de energía kWh a kcal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el ahorro de un generador marginal (TV a gas de 2885 kcal/kWh)</t>
        </r>
        <r>
          <rPr>
            <vertAlign val="superscript"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(Inf.Anual CAMMESA 2014)</t>
        </r>
        <r>
          <rPr>
            <vertAlign val="superscript"/>
            <sz val="9"/>
            <color indexed="81"/>
            <rFont val="Tahoma"/>
            <family val="2"/>
          </rPr>
          <t xml:space="preserve"> 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Nicolas Biurrun:</t>
        </r>
        <r>
          <rPr>
            <sz val="9"/>
            <color indexed="81"/>
            <rFont val="Tahoma"/>
            <family val="2"/>
          </rPr>
          <t xml:space="preserve">
Tomando un precio de 17 US$/MMBTU</t>
        </r>
      </text>
    </comment>
  </commentList>
</comments>
</file>

<file path=xl/sharedStrings.xml><?xml version="1.0" encoding="utf-8"?>
<sst xmlns="http://schemas.openxmlformats.org/spreadsheetml/2006/main" count="128" uniqueCount="69">
  <si>
    <t>EDENOR+EDESUR</t>
  </si>
  <si>
    <t>AA por año de Fabricación. Fuente:SAORE</t>
  </si>
  <si>
    <t>Total País</t>
  </si>
  <si>
    <t>EDENOR + EDESUR</t>
  </si>
  <si>
    <t>TOTAL</t>
  </si>
  <si>
    <t>TOTAL &lt; 2009</t>
  </si>
  <si>
    <r>
      <t>GAS EQ. [dam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]</t>
    </r>
  </si>
  <si>
    <t>kWh INEFICIENTES AÑO</t>
  </si>
  <si>
    <t>kWh EFICIENTES AÑO (Clase A)</t>
  </si>
  <si>
    <t>US$ por GNL</t>
  </si>
  <si>
    <t>AHORROS x REEMPLAZO</t>
  </si>
  <si>
    <t>ENERGÍA GENERADA [kWh]</t>
  </si>
  <si>
    <t>Tubos relevados según Tipo. Fuente:SAORE</t>
  </si>
  <si>
    <t>Cantidad</t>
  </si>
  <si>
    <t>Potencia [W]</t>
  </si>
  <si>
    <t>MWh-año</t>
  </si>
  <si>
    <t>TOTAL PAÍS</t>
  </si>
  <si>
    <t>[W/Tubo]</t>
  </si>
  <si>
    <t>RELEVADO</t>
  </si>
  <si>
    <t>AHORRO</t>
  </si>
  <si>
    <t>Total de Potencial de Ahorro Considerado</t>
  </si>
  <si>
    <t>AHORRO EN ENERGÍA GENERADA [kWh]</t>
  </si>
  <si>
    <t>kcal/dam3</t>
  </si>
  <si>
    <t>1 kcal=</t>
  </si>
  <si>
    <t>BTU</t>
  </si>
  <si>
    <t>GN</t>
  </si>
  <si>
    <t>1 dam3 GN=</t>
  </si>
  <si>
    <t>MMBTU</t>
  </si>
  <si>
    <t>PROYECTO: Reemplazo de elementos de Iluminación en Calles Internas</t>
  </si>
  <si>
    <t>•MINISTERIO DE TRABAJO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</si>
  <si>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Remodelación del Tendido Eléctrico Edif.  AV L N Alem 638</t>
    </r>
  </si>
  <si>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>Sistema de Climatización</t>
    </r>
  </si>
  <si>
    <t>Proyecto 1</t>
  </si>
  <si>
    <t>Proyecto 2</t>
  </si>
  <si>
    <t>-</t>
  </si>
  <si>
    <t>•VIALIDAD NACIONAL</t>
  </si>
  <si>
    <t xml:space="preserve">    ii) Equipo de E renovable , UPS 60KVA</t>
  </si>
  <si>
    <t xml:space="preserve">   iii) GRUPO ELECTROGENO </t>
  </si>
  <si>
    <t xml:space="preserve">    ii)CLARABOYAS +PLACAS TRASLÚCIDAS EN PASILLO BAHIA BLANCA</t>
  </si>
  <si>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i) REVE TÉRMICO EN ABERTURAS(DVH) Y TECHO BAHIA BLANCA</t>
    </r>
  </si>
  <si>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 xml:space="preserve"> i) REMODELACION ELÉCTRICA RED DE DATOS PARANA ENTRE RIOS</t>
    </r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</si>
  <si>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UNIFICACION DE CIRCUITO CAMBIO A GU ,Cede Distrito 10 CORRIENTES</t>
    </r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</si>
  <si>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GEN. FOTOVOLTAICA EN Distrito. Santa Fe 8,26KWp completo S/ baterías</t>
    </r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</si>
  <si>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REMODELACION ELÉCTRICA RED DE DATOS   CDAD de MENDOZA</t>
    </r>
  </si>
  <si>
    <t>PROYECTOS:</t>
  </si>
  <si>
    <t>Proyecto 3</t>
  </si>
  <si>
    <t>Proyecto 4</t>
  </si>
  <si>
    <t>Proyecto 5</t>
  </si>
  <si>
    <t>i)</t>
  </si>
  <si>
    <t>ii)</t>
  </si>
  <si>
    <t>iii)</t>
  </si>
  <si>
    <t>•Prefectura Naval Argentina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</si>
  <si>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REMODELACION ILUM INSTITUTO DE  FORMACION  ZARATE</t>
    </r>
  </si>
  <si>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>REHABILITACION INS ELECTRICA  BUQUES GUARDACOSTAS CABA</t>
    </r>
  </si>
  <si>
    <t>POTENCIAL DE AHORRO TOTAL: A.A., TUBOS Y PROYECTOS ESPECIALES</t>
  </si>
  <si>
    <t>TOTAL PROYECTOS</t>
  </si>
  <si>
    <r>
      <rPr>
        <u/>
        <sz val="11"/>
        <color theme="1"/>
        <rFont val="Calibri"/>
        <family val="2"/>
        <scheme val="minor"/>
      </rPr>
      <t>Fuente</t>
    </r>
    <r>
      <rPr>
        <sz val="11"/>
        <color theme="1"/>
        <rFont val="Calibri"/>
        <family val="2"/>
        <scheme val="minor"/>
      </rPr>
      <t>: Datos Almacenados en el SAORE y Relevamientos Realizados por Prefectura, Ejercito, Gendarmería, Armada y Fuerza Aérea</t>
    </r>
  </si>
  <si>
    <t>•GENDARMERÍA, PREFECTURA, EJÉRCITO, FUERZA AÉREA, ARMADA</t>
  </si>
  <si>
    <r>
      <t>GAS EQUIVALENTE AHORRADO [dam</t>
    </r>
    <r>
      <rPr>
        <b/>
        <vertAlign val="superscript"/>
        <sz val="14"/>
        <color theme="1"/>
        <rFont val="Calibri"/>
        <family val="2"/>
        <scheme val="minor"/>
      </rPr>
      <t>3</t>
    </r>
    <r>
      <rPr>
        <b/>
        <sz val="14"/>
        <color theme="1"/>
        <rFont val="Calibri"/>
        <family val="2"/>
        <scheme val="minor"/>
      </rPr>
      <t>]</t>
    </r>
  </si>
  <si>
    <t>kcal</t>
  </si>
  <si>
    <t>kcal/kWh</t>
  </si>
  <si>
    <t>SECTOR ELÉCTRICO</t>
  </si>
  <si>
    <t>TV Marginal a GN</t>
  </si>
  <si>
    <t>1kWh=</t>
  </si>
  <si>
    <t>%</t>
  </si>
  <si>
    <r>
      <t xml:space="preserve">Total de Unidades a Reemplazar: </t>
    </r>
    <r>
      <rPr>
        <b/>
        <sz val="11"/>
        <color theme="1"/>
        <rFont val="Calibri"/>
        <family val="2"/>
        <scheme val="minor"/>
      </rPr>
      <t>11.438</t>
    </r>
  </si>
  <si>
    <r>
      <t xml:space="preserve">Total de Unidades Relevadas: </t>
    </r>
    <r>
      <rPr>
        <b/>
        <sz val="11"/>
        <color theme="1"/>
        <rFont val="Calibri"/>
        <family val="2"/>
        <scheme val="minor"/>
      </rPr>
      <t>15.829</t>
    </r>
  </si>
  <si>
    <t>AHORRO POR GN NO CONSUMIDO [U$S]</t>
  </si>
  <si>
    <t>VIVIENDAS PROMEDIO EQUIVALENTES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</si>
</sst>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 * #,##0_ ;_ * \-#,##0_ ;_ * &quot;-&quot;??_ ;_ @_ "/>
    <numFmt numFmtId="165" formatCode="_-* #,##0\ _€_-;\-* #,##0\ _€_-;_-* &quot;-&quot;??\ _€_-;_-@_-"/>
    <numFmt numFmtId="166" formatCode="_ * #,##0.0_ ;_ * \-#,##0.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164" fontId="0" fillId="0" borderId="1" xfId="1" applyNumberFormat="1" applyFont="1" applyBorder="1"/>
    <xf numFmtId="0" fontId="0" fillId="0" borderId="1" xfId="0" applyBorder="1"/>
    <xf numFmtId="0" fontId="2" fillId="0" borderId="1" xfId="0" applyFont="1" applyBorder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0" fillId="0" borderId="4" xfId="0" applyBorder="1" applyAlignment="1"/>
    <xf numFmtId="0" fontId="0" fillId="0" borderId="0" xfId="0" applyBorder="1" applyAlignment="1"/>
    <xf numFmtId="0" fontId="0" fillId="0" borderId="4" xfId="0" applyBorder="1"/>
    <xf numFmtId="0" fontId="2" fillId="0" borderId="0" xfId="0" applyFont="1" applyBorder="1" applyAlignment="1"/>
    <xf numFmtId="164" fontId="2" fillId="0" borderId="6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164" fontId="0" fillId="0" borderId="1" xfId="0" applyNumberFormat="1" applyBorder="1"/>
    <xf numFmtId="164" fontId="0" fillId="2" borderId="1" xfId="0" applyNumberForma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0" fontId="7" fillId="2" borderId="1" xfId="0" applyFont="1" applyFill="1" applyBorder="1"/>
    <xf numFmtId="3" fontId="0" fillId="0" borderId="0" xfId="0" applyNumberFormat="1"/>
    <xf numFmtId="9" fontId="0" fillId="0" borderId="0" xfId="2" applyFont="1"/>
    <xf numFmtId="1" fontId="0" fillId="0" borderId="0" xfId="0" applyNumberFormat="1"/>
    <xf numFmtId="3" fontId="0" fillId="0" borderId="1" xfId="0" applyNumberFormat="1" applyBorder="1"/>
    <xf numFmtId="0" fontId="0" fillId="0" borderId="1" xfId="0" applyBorder="1" applyAlignment="1">
      <alignment horizontal="center"/>
    </xf>
    <xf numFmtId="164" fontId="2" fillId="2" borderId="1" xfId="1" applyNumberFormat="1" applyFont="1" applyFill="1" applyBorder="1"/>
    <xf numFmtId="3" fontId="2" fillId="2" borderId="1" xfId="0" applyNumberFormat="1" applyFont="1" applyFill="1" applyBorder="1"/>
    <xf numFmtId="9" fontId="2" fillId="2" borderId="1" xfId="2" applyFont="1" applyFill="1" applyBorder="1"/>
    <xf numFmtId="1" fontId="2" fillId="0" borderId="0" xfId="0" applyNumberFormat="1" applyFont="1"/>
    <xf numFmtId="0" fontId="2" fillId="0" borderId="1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4" fontId="9" fillId="3" borderId="1" xfId="0" applyNumberFormat="1" applyFont="1" applyFill="1" applyBorder="1"/>
    <xf numFmtId="164" fontId="9" fillId="3" borderId="1" xfId="0" applyNumberFormat="1" applyFont="1" applyFill="1" applyBorder="1" applyAlignment="1">
      <alignment horizontal="right"/>
    </xf>
    <xf numFmtId="0" fontId="10" fillId="0" borderId="0" xfId="0" applyFont="1"/>
    <xf numFmtId="0" fontId="11" fillId="2" borderId="1" xfId="0" applyFont="1" applyFill="1" applyBorder="1"/>
    <xf numFmtId="164" fontId="11" fillId="2" borderId="1" xfId="0" applyNumberFormat="1" applyFont="1" applyFill="1" applyBorder="1"/>
    <xf numFmtId="0" fontId="10" fillId="0" borderId="3" xfId="0" applyFont="1" applyBorder="1"/>
    <xf numFmtId="3" fontId="10" fillId="0" borderId="0" xfId="0" applyNumberFormat="1" applyFont="1"/>
    <xf numFmtId="0" fontId="10" fillId="0" borderId="2" xfId="0" applyFont="1" applyBorder="1"/>
    <xf numFmtId="0" fontId="10" fillId="0" borderId="5" xfId="0" applyFont="1" applyBorder="1"/>
    <xf numFmtId="165" fontId="10" fillId="0" borderId="0" xfId="1" applyNumberFormat="1" applyFont="1"/>
    <xf numFmtId="2" fontId="10" fillId="0" borderId="0" xfId="0" applyNumberFormat="1" applyFont="1"/>
    <xf numFmtId="164" fontId="10" fillId="0" borderId="0" xfId="0" applyNumberFormat="1" applyFont="1"/>
    <xf numFmtId="0" fontId="10" fillId="0" borderId="0" xfId="0" applyFont="1" applyAlignment="1">
      <alignment horizontal="right"/>
    </xf>
    <xf numFmtId="0" fontId="10" fillId="0" borderId="0" xfId="0" applyFont="1" applyBorder="1"/>
    <xf numFmtId="0" fontId="13" fillId="0" borderId="0" xfId="0" applyFont="1"/>
    <xf numFmtId="166" fontId="2" fillId="2" borderId="1" xfId="0" applyNumberFormat="1" applyFont="1" applyFill="1" applyBorder="1"/>
    <xf numFmtId="9" fontId="10" fillId="0" borderId="0" xfId="2" applyFont="1"/>
    <xf numFmtId="0" fontId="2" fillId="0" borderId="9" xfId="0" applyFont="1" applyBorder="1" applyAlignment="1">
      <alignment horizontal="right"/>
    </xf>
    <xf numFmtId="2" fontId="2" fillId="0" borderId="10" xfId="0" applyNumberFormat="1" applyFont="1" applyBorder="1"/>
    <xf numFmtId="0" fontId="2" fillId="0" borderId="11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164" fontId="14" fillId="5" borderId="6" xfId="1" applyNumberFormat="1" applyFont="1" applyFill="1" applyBorder="1" applyAlignment="1">
      <alignment horizontal="center" vertical="center"/>
    </xf>
    <xf numFmtId="164" fontId="15" fillId="5" borderId="1" xfId="0" applyNumberFormat="1" applyFont="1" applyFill="1" applyBorder="1"/>
    <xf numFmtId="164" fontId="14" fillId="5" borderId="1" xfId="0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baseline="0"/>
              <a:t>EDENOR+EDESUR</a:t>
            </a:r>
            <a:endParaRPr lang="es-ES"/>
          </a:p>
        </c:rich>
      </c:tx>
      <c:layout>
        <c:manualLayout>
          <c:xMode val="edge"/>
          <c:yMode val="edge"/>
          <c:x val="0.2733888888888889"/>
          <c:y val="0.10648148148148148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39684419655876346"/>
          <c:w val="0.88055555555555554"/>
          <c:h val="0.5999825021872266"/>
        </c:manualLayout>
      </c:layout>
      <c:pie3DChart>
        <c:varyColors val="1"/>
        <c:ser>
          <c:idx val="0"/>
          <c:order val="0"/>
          <c:dLbls>
            <c:dLbl>
              <c:idx val="3"/>
              <c:layout>
                <c:manualLayout>
                  <c:x val="0.13970013123359579"/>
                  <c:y val="-0.189136410032079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Tubos!$A$15:$A$18</c:f>
              <c:strCache>
                <c:ptCount val="4"/>
                <c:pt idx="0">
                  <c:v>Tubos T10</c:v>
                </c:pt>
                <c:pt idx="1">
                  <c:v>Tubos T12</c:v>
                </c:pt>
                <c:pt idx="2">
                  <c:v>Tubos T5</c:v>
                </c:pt>
                <c:pt idx="3">
                  <c:v>Tubos T8</c:v>
                </c:pt>
              </c:strCache>
            </c:strRef>
          </c:cat>
          <c:val>
            <c:numRef>
              <c:f>Tubos!$B$15:$B$18</c:f>
              <c:numCache>
                <c:formatCode>#,##0</c:formatCode>
                <c:ptCount val="4"/>
                <c:pt idx="0">
                  <c:v>4844</c:v>
                </c:pt>
                <c:pt idx="1">
                  <c:v>4077</c:v>
                </c:pt>
                <c:pt idx="2">
                  <c:v>2015</c:v>
                </c:pt>
                <c:pt idx="3">
                  <c:v>32364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>
        <c:manualLayout>
          <c:xMode val="edge"/>
          <c:yMode val="edge"/>
          <c:x val="0.82303543307086602"/>
          <c:y val="0.44884259259259257"/>
          <c:w val="0.17615135608048993"/>
          <c:h val="0.49112459900845729"/>
        </c:manualLayout>
      </c:layout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baseline="0"/>
              <a:t>TOTAL PAÍS</a:t>
            </a:r>
            <a:endParaRPr lang="es-ES"/>
          </a:p>
        </c:rich>
      </c:tx>
      <c:layout>
        <c:manualLayout>
          <c:xMode val="edge"/>
          <c:yMode val="edge"/>
          <c:x val="0.41505555555555562"/>
          <c:y val="0.10648148148148148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39684419655876346"/>
          <c:w val="0.88055555555555554"/>
          <c:h val="0.5999825021872266"/>
        </c:manualLayout>
      </c:layout>
      <c:pie3DChart>
        <c:varyColors val="1"/>
        <c:ser>
          <c:idx val="0"/>
          <c:order val="0"/>
          <c:dLbls>
            <c:dLbl>
              <c:idx val="3"/>
              <c:layout>
                <c:manualLayout>
                  <c:x val="0.13970013123359579"/>
                  <c:y val="-0.189136410032079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Tubos!$A$5:$A$8</c:f>
              <c:strCache>
                <c:ptCount val="4"/>
                <c:pt idx="0">
                  <c:v>Tubos T10</c:v>
                </c:pt>
                <c:pt idx="1">
                  <c:v>Tubos T12</c:v>
                </c:pt>
                <c:pt idx="2">
                  <c:v>Tubos T5</c:v>
                </c:pt>
                <c:pt idx="3">
                  <c:v>Tubos T8</c:v>
                </c:pt>
              </c:strCache>
            </c:strRef>
          </c:cat>
          <c:val>
            <c:numRef>
              <c:f>Tubos!$B$5:$B$8</c:f>
              <c:numCache>
                <c:formatCode>#,##0</c:formatCode>
                <c:ptCount val="4"/>
                <c:pt idx="0">
                  <c:v>17036</c:v>
                </c:pt>
                <c:pt idx="1">
                  <c:v>28456</c:v>
                </c:pt>
                <c:pt idx="2">
                  <c:v>3659</c:v>
                </c:pt>
                <c:pt idx="3">
                  <c:v>146253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>
        <c:manualLayout>
          <c:xMode val="edge"/>
          <c:yMode val="edge"/>
          <c:x val="0.82303543307086602"/>
          <c:y val="0.44884259259259257"/>
          <c:w val="0.17615135608048993"/>
          <c:h val="0.49112459900845729"/>
        </c:manualLayout>
      </c:layout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752475</xdr:colOff>
      <xdr:row>10</xdr:row>
      <xdr:rowOff>161925</xdr:rowOff>
    </xdr:from>
    <xdr:to>
      <xdr:col>10</xdr:col>
      <xdr:colOff>387493</xdr:colOff>
      <xdr:row>25</xdr:row>
      <xdr:rowOff>60056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9150" y="2324100"/>
          <a:ext cx="4578493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</xdr:row>
      <xdr:rowOff>95250</xdr:rowOff>
    </xdr:from>
    <xdr:to>
      <xdr:col>6</xdr:col>
      <xdr:colOff>38100</xdr:colOff>
      <xdr:row>34</xdr:row>
      <xdr:rowOff>171450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419100</xdr:colOff>
      <xdr:row>6</xdr:row>
      <xdr:rowOff>180975</xdr:rowOff>
    </xdr:from>
    <xdr:to>
      <xdr:col>12</xdr:col>
      <xdr:colOff>247650</xdr:colOff>
      <xdr:row>21</xdr:row>
      <xdr:rowOff>66675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28576</xdr:rowOff>
    </xdr:from>
    <xdr:to>
      <xdr:col>5</xdr:col>
      <xdr:colOff>262652</xdr:colOff>
      <xdr:row>19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00151"/>
          <a:ext cx="4072652" cy="2447924"/>
        </a:xfrm>
        <a:prstGeom prst="rect">
          <a:avLst/>
        </a:prstGeom>
      </xdr:spPr>
    </xdr:pic>
    <xdr:clientData/>
  </xdr:twoCellAnchor>
  <xdr:twoCellAnchor editAs="oneCell">
    <xdr:from>
      <xdr:col>3</xdr:col>
      <xdr:colOff>628649</xdr:colOff>
      <xdr:row>17</xdr:row>
      <xdr:rowOff>9525</xdr:rowOff>
    </xdr:from>
    <xdr:to>
      <xdr:col>8</xdr:col>
      <xdr:colOff>5393</xdr:colOff>
      <xdr:row>30</xdr:row>
      <xdr:rowOff>9525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14649" y="3276600"/>
          <a:ext cx="4120194" cy="2476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11</xdr:row>
      <xdr:rowOff>95250</xdr:rowOff>
    </xdr:from>
    <xdr:to>
      <xdr:col>7</xdr:col>
      <xdr:colOff>695325</xdr:colOff>
      <xdr:row>11</xdr:row>
      <xdr:rowOff>95250</xdr:rowOff>
    </xdr:to>
    <xdr:cxnSp macro="">
      <xdr:nvCxnSpPr>
        <xdr:cNvPr id="3" name="2 Conector recto de flecha"/>
        <xdr:cNvCxnSpPr/>
      </xdr:nvCxnSpPr>
      <xdr:spPr>
        <a:xfrm>
          <a:off x="9077325" y="1838325"/>
          <a:ext cx="31432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14</xdr:row>
      <xdr:rowOff>95250</xdr:rowOff>
    </xdr:from>
    <xdr:to>
      <xdr:col>7</xdr:col>
      <xdr:colOff>695325</xdr:colOff>
      <xdr:row>14</xdr:row>
      <xdr:rowOff>95250</xdr:rowOff>
    </xdr:to>
    <xdr:cxnSp macro="">
      <xdr:nvCxnSpPr>
        <xdr:cNvPr id="4" name="3 Conector recto de flecha"/>
        <xdr:cNvCxnSpPr/>
      </xdr:nvCxnSpPr>
      <xdr:spPr>
        <a:xfrm>
          <a:off x="9077325" y="2409825"/>
          <a:ext cx="31432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1000125</xdr:colOff>
      <xdr:row>10</xdr:row>
      <xdr:rowOff>142875</xdr:rowOff>
    </xdr:from>
    <xdr:to>
      <xdr:col>8</xdr:col>
      <xdr:colOff>1314450</xdr:colOff>
      <xdr:row>10</xdr:row>
      <xdr:rowOff>142875</xdr:rowOff>
    </xdr:to>
    <xdr:cxnSp macro="">
      <xdr:nvCxnSpPr>
        <xdr:cNvPr id="6" name="5 Conector recto de flecha"/>
        <xdr:cNvCxnSpPr/>
      </xdr:nvCxnSpPr>
      <xdr:spPr>
        <a:xfrm>
          <a:off x="2524125" y="5886450"/>
          <a:ext cx="31432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152400</xdr:rowOff>
    </xdr:from>
    <xdr:to>
      <xdr:col>8</xdr:col>
      <xdr:colOff>323850</xdr:colOff>
      <xdr:row>10</xdr:row>
      <xdr:rowOff>152400</xdr:rowOff>
    </xdr:to>
    <xdr:cxnSp macro="">
      <xdr:nvCxnSpPr>
        <xdr:cNvPr id="7" name="6 Conector recto de flecha"/>
        <xdr:cNvCxnSpPr/>
      </xdr:nvCxnSpPr>
      <xdr:spPr>
        <a:xfrm>
          <a:off x="11191875" y="2562225"/>
          <a:ext cx="31432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urrunn\Desktop\ESCRITORIO\Resumen%20Aires%20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urrunn\Desktop\ESCRITORIO\AA-IRAM6240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urrunn\Desktop\ESCRITORIO\AA-IRAM62406.V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urrunn\Desktop\ESCRITORIO\Copia%20de%20Resumen%20Tub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gko\Nico\Calles%20Intern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Ministerio"/>
      <sheetName val="Por Provincia"/>
      <sheetName val="Por Edificio"/>
      <sheetName val="Hoja1"/>
      <sheetName val="Por Local"/>
      <sheetName val="Totales por Tipo de Equipo"/>
      <sheetName val="Tot. por Equipo y Eficiencia"/>
      <sheetName val="Tot por Equipo, Efic. y Año"/>
    </sheetNames>
    <sheetDataSet>
      <sheetData sheetId="0"/>
      <sheetData sheetId="1"/>
      <sheetData sheetId="2"/>
      <sheetData sheetId="3"/>
      <sheetData sheetId="4">
        <row r="8783">
          <cell r="J8783">
            <v>1976</v>
          </cell>
          <cell r="K8783">
            <v>1</v>
          </cell>
          <cell r="L8783">
            <v>1400</v>
          </cell>
          <cell r="M8783">
            <v>1</v>
          </cell>
          <cell r="N8783">
            <v>1400</v>
          </cell>
        </row>
        <row r="8784">
          <cell r="J8784">
            <v>1978</v>
          </cell>
          <cell r="K8784">
            <v>1</v>
          </cell>
          <cell r="L8784">
            <v>1800</v>
          </cell>
          <cell r="M8784">
            <v>1</v>
          </cell>
          <cell r="N8784">
            <v>1800</v>
          </cell>
        </row>
        <row r="8785">
          <cell r="J8785">
            <v>1980</v>
          </cell>
          <cell r="K8785">
            <v>12</v>
          </cell>
          <cell r="L8785">
            <v>27100</v>
          </cell>
          <cell r="M8785">
            <v>4</v>
          </cell>
          <cell r="N8785">
            <v>4500</v>
          </cell>
        </row>
        <row r="8786">
          <cell r="J8786">
            <v>1984</v>
          </cell>
          <cell r="K8786">
            <v>1</v>
          </cell>
          <cell r="L8786">
            <v>2800</v>
          </cell>
          <cell r="M8786">
            <v>1</v>
          </cell>
          <cell r="N8786">
            <v>2800</v>
          </cell>
        </row>
        <row r="8787">
          <cell r="J8787">
            <v>1989</v>
          </cell>
          <cell r="K8787">
            <v>4</v>
          </cell>
          <cell r="L8787">
            <v>9500</v>
          </cell>
          <cell r="M8787">
            <v>3</v>
          </cell>
          <cell r="N8787">
            <v>7100</v>
          </cell>
        </row>
        <row r="8788">
          <cell r="J8788">
            <v>1990</v>
          </cell>
          <cell r="K8788">
            <v>12</v>
          </cell>
          <cell r="L8788">
            <v>24500</v>
          </cell>
          <cell r="M8788">
            <v>7</v>
          </cell>
          <cell r="N8788">
            <v>11900</v>
          </cell>
        </row>
        <row r="8789">
          <cell r="J8789">
            <v>1995</v>
          </cell>
          <cell r="K8789">
            <v>18</v>
          </cell>
          <cell r="L8789">
            <v>36940</v>
          </cell>
          <cell r="M8789">
            <v>10</v>
          </cell>
          <cell r="N8789">
            <v>16600</v>
          </cell>
        </row>
        <row r="8790">
          <cell r="J8790">
            <v>1996</v>
          </cell>
          <cell r="K8790">
            <v>14</v>
          </cell>
          <cell r="L8790">
            <v>24460</v>
          </cell>
          <cell r="M8790">
            <v>6</v>
          </cell>
          <cell r="N8790">
            <v>12200</v>
          </cell>
        </row>
        <row r="8791">
          <cell r="J8791">
            <v>1997</v>
          </cell>
          <cell r="K8791">
            <v>6</v>
          </cell>
          <cell r="L8791">
            <v>8680</v>
          </cell>
          <cell r="M8791">
            <v>0</v>
          </cell>
          <cell r="N8791">
            <v>0</v>
          </cell>
        </row>
        <row r="8792">
          <cell r="J8792">
            <v>1998</v>
          </cell>
          <cell r="K8792">
            <v>31</v>
          </cell>
          <cell r="L8792">
            <v>56040</v>
          </cell>
          <cell r="M8792">
            <v>20</v>
          </cell>
          <cell r="N8792">
            <v>33600</v>
          </cell>
        </row>
        <row r="8793">
          <cell r="J8793">
            <v>1999</v>
          </cell>
          <cell r="K8793">
            <v>23</v>
          </cell>
          <cell r="L8793">
            <v>42321</v>
          </cell>
          <cell r="M8793">
            <v>13</v>
          </cell>
          <cell r="N8793">
            <v>22150</v>
          </cell>
        </row>
        <row r="8794">
          <cell r="J8794">
            <v>2000</v>
          </cell>
          <cell r="K8794">
            <v>48</v>
          </cell>
          <cell r="L8794">
            <v>90987</v>
          </cell>
          <cell r="M8794">
            <v>16</v>
          </cell>
          <cell r="N8794">
            <v>30100</v>
          </cell>
        </row>
        <row r="8795">
          <cell r="J8795">
            <v>2001</v>
          </cell>
          <cell r="K8795">
            <v>9</v>
          </cell>
          <cell r="L8795">
            <v>17600</v>
          </cell>
          <cell r="M8795">
            <v>7</v>
          </cell>
          <cell r="N8795">
            <v>12600</v>
          </cell>
        </row>
        <row r="8796">
          <cell r="J8796">
            <v>2002</v>
          </cell>
          <cell r="K8796">
            <v>28</v>
          </cell>
          <cell r="L8796">
            <v>51240</v>
          </cell>
          <cell r="M8796">
            <v>12</v>
          </cell>
          <cell r="N8796">
            <v>22700</v>
          </cell>
        </row>
        <row r="8797">
          <cell r="J8797">
            <v>2003</v>
          </cell>
          <cell r="K8797">
            <v>26</v>
          </cell>
          <cell r="L8797">
            <v>46450</v>
          </cell>
          <cell r="M8797">
            <v>10</v>
          </cell>
          <cell r="N8797">
            <v>18750</v>
          </cell>
        </row>
        <row r="8798">
          <cell r="J8798">
            <v>2004</v>
          </cell>
          <cell r="K8798">
            <v>29</v>
          </cell>
          <cell r="L8798">
            <v>48032</v>
          </cell>
          <cell r="M8798">
            <v>11</v>
          </cell>
          <cell r="N8798">
            <v>15675</v>
          </cell>
        </row>
        <row r="8799">
          <cell r="J8799">
            <v>2005</v>
          </cell>
          <cell r="K8799">
            <v>119</v>
          </cell>
          <cell r="L8799">
            <v>224140</v>
          </cell>
          <cell r="M8799">
            <v>27</v>
          </cell>
          <cell r="N8799">
            <v>42230</v>
          </cell>
        </row>
        <row r="8800">
          <cell r="J8800">
            <v>2006</v>
          </cell>
          <cell r="K8800">
            <v>72</v>
          </cell>
          <cell r="L8800">
            <v>123048</v>
          </cell>
          <cell r="M8800">
            <v>27</v>
          </cell>
          <cell r="N8800">
            <v>49100</v>
          </cell>
        </row>
        <row r="8801">
          <cell r="J8801">
            <v>2007</v>
          </cell>
          <cell r="K8801">
            <v>30</v>
          </cell>
          <cell r="L8801">
            <v>48631</v>
          </cell>
          <cell r="M8801">
            <v>9</v>
          </cell>
          <cell r="N8801">
            <v>15870</v>
          </cell>
        </row>
        <row r="8802">
          <cell r="J8802">
            <v>2008</v>
          </cell>
          <cell r="K8802">
            <v>121</v>
          </cell>
          <cell r="L8802">
            <v>205759</v>
          </cell>
          <cell r="M8802">
            <v>68</v>
          </cell>
          <cell r="N8802">
            <v>103506</v>
          </cell>
        </row>
        <row r="8803">
          <cell r="J8803">
            <v>2009</v>
          </cell>
          <cell r="K8803">
            <v>148</v>
          </cell>
          <cell r="L8803">
            <v>225109</v>
          </cell>
          <cell r="M8803">
            <v>50</v>
          </cell>
          <cell r="N8803">
            <v>87960</v>
          </cell>
        </row>
        <row r="8804">
          <cell r="J8804">
            <v>2010</v>
          </cell>
          <cell r="K8804">
            <v>316</v>
          </cell>
          <cell r="L8804">
            <v>555117</v>
          </cell>
          <cell r="M8804">
            <v>102</v>
          </cell>
          <cell r="N8804">
            <v>183310</v>
          </cell>
        </row>
        <row r="8805">
          <cell r="J8805">
            <v>2011</v>
          </cell>
          <cell r="K8805">
            <v>155</v>
          </cell>
          <cell r="L8805">
            <v>258826</v>
          </cell>
          <cell r="M8805">
            <v>47</v>
          </cell>
          <cell r="N8805">
            <v>89960</v>
          </cell>
        </row>
        <row r="8806">
          <cell r="J8806">
            <v>2012</v>
          </cell>
          <cell r="K8806">
            <v>147</v>
          </cell>
          <cell r="L8806">
            <v>224619</v>
          </cell>
          <cell r="M8806">
            <v>55</v>
          </cell>
          <cell r="N8806">
            <v>89005</v>
          </cell>
        </row>
        <row r="8807">
          <cell r="J8807">
            <v>2013</v>
          </cell>
          <cell r="K8807">
            <v>44</v>
          </cell>
          <cell r="L8807">
            <v>93500</v>
          </cell>
          <cell r="M8807">
            <v>11</v>
          </cell>
          <cell r="N8807">
            <v>22350</v>
          </cell>
        </row>
        <row r="8808">
          <cell r="J8808">
            <v>2014</v>
          </cell>
          <cell r="K8808">
            <v>7</v>
          </cell>
          <cell r="L8808">
            <v>13981</v>
          </cell>
          <cell r="M8808">
            <v>5</v>
          </cell>
          <cell r="N8808">
            <v>10281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NORMA"/>
      <sheetName val="Temperatura"/>
      <sheetName val="Combustible"/>
    </sheetNames>
    <sheetDataSet>
      <sheetData sheetId="0" refreshError="1"/>
      <sheetData sheetId="1" refreshError="1"/>
      <sheetData sheetId="2">
        <row r="520">
          <cell r="G520">
            <v>1770</v>
          </cell>
        </row>
      </sheetData>
      <sheetData sheetId="3">
        <row r="11">
          <cell r="H11">
            <v>4.3617287473263833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NORMA"/>
      <sheetName val="Temperatura"/>
      <sheetName val="Combustible"/>
    </sheetNames>
    <sheetDataSet>
      <sheetData sheetId="0" refreshError="1"/>
      <sheetData sheetId="1" refreshError="1"/>
      <sheetData sheetId="2">
        <row r="522">
          <cell r="G522">
            <v>261907.40651716429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Ministerio"/>
      <sheetName val="Por Provincia"/>
      <sheetName val="Por Edificio"/>
      <sheetName val="Totales por Tipo Tubo"/>
      <sheetName val="EDENOR.SUR"/>
      <sheetName val="TOTAL.PAIS"/>
      <sheetName val="Por Edificio (2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A7" t="str">
            <v>Tubos T10</v>
          </cell>
        </row>
        <row r="30">
          <cell r="A30" t="str">
            <v>Tubos T10</v>
          </cell>
          <cell r="B30">
            <v>4844</v>
          </cell>
          <cell r="C30">
            <v>137251</v>
          </cell>
        </row>
        <row r="31">
          <cell r="A31" t="str">
            <v>Tubos T12</v>
          </cell>
          <cell r="B31">
            <v>4077</v>
          </cell>
          <cell r="C31">
            <v>181953</v>
          </cell>
        </row>
        <row r="32">
          <cell r="A32" t="str">
            <v>Tubos T5</v>
          </cell>
          <cell r="B32">
            <v>2015</v>
          </cell>
          <cell r="C32">
            <v>51118</v>
          </cell>
        </row>
        <row r="33">
          <cell r="A33" t="str">
            <v>Tubos T8</v>
          </cell>
          <cell r="B33">
            <v>32364</v>
          </cell>
          <cell r="C33">
            <v>1200946</v>
          </cell>
        </row>
      </sheetData>
      <sheetData sheetId="5">
        <row r="14">
          <cell r="A14" t="str">
            <v>Tubos T10</v>
          </cell>
          <cell r="B14">
            <v>17036</v>
          </cell>
          <cell r="C14">
            <v>629882</v>
          </cell>
        </row>
        <row r="15">
          <cell r="A15" t="str">
            <v>Tubos T12</v>
          </cell>
          <cell r="B15">
            <v>28456</v>
          </cell>
          <cell r="C15">
            <v>1183236</v>
          </cell>
        </row>
        <row r="16">
          <cell r="A16" t="str">
            <v>Tubos T5</v>
          </cell>
          <cell r="B16">
            <v>3659</v>
          </cell>
          <cell r="C16">
            <v>108974</v>
          </cell>
        </row>
        <row r="17">
          <cell r="A17" t="str">
            <v>Tubos T8</v>
          </cell>
          <cell r="B17">
            <v>146253</v>
          </cell>
          <cell r="C17">
            <v>5278818</v>
          </cell>
        </row>
      </sheetData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ECTURA"/>
      <sheetName val="EJERCITO"/>
      <sheetName val="GENDARMERIA"/>
      <sheetName val="ARMADA"/>
      <sheetName val="FAA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8">
          <cell r="J18">
            <v>6288818.9649999999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"/>
  <sheetViews>
    <sheetView workbookViewId="0">
      <selection activeCell="I8" sqref="I8"/>
    </sheetView>
  </sheetViews>
  <sheetFormatPr baseColWidth="10" defaultRowHeight="15" x14ac:dyDescent="0.25"/>
  <cols>
    <col min="1" max="1" width="12.42578125" bestFit="1" customWidth="1"/>
    <col min="7" max="7" width="28.42578125" bestFit="1" customWidth="1"/>
  </cols>
  <sheetData>
    <row r="1" spans="1:11" x14ac:dyDescent="0.25">
      <c r="A1" s="57" t="s">
        <v>1</v>
      </c>
      <c r="B1" s="57"/>
      <c r="C1" s="57"/>
      <c r="D1" s="57"/>
      <c r="H1" s="55"/>
      <c r="I1" s="56"/>
      <c r="J1" s="7"/>
      <c r="K1" s="8"/>
    </row>
    <row r="2" spans="1:11" ht="30.75" customHeight="1" x14ac:dyDescent="0.25">
      <c r="B2" s="58" t="s">
        <v>2</v>
      </c>
      <c r="C2" s="59"/>
      <c r="D2" s="60" t="s">
        <v>0</v>
      </c>
      <c r="E2" s="60"/>
      <c r="H2" s="74" t="s">
        <v>2</v>
      </c>
      <c r="I2" s="12" t="s">
        <v>3</v>
      </c>
      <c r="J2" s="9"/>
      <c r="K2" s="10"/>
    </row>
    <row r="3" spans="1:11" x14ac:dyDescent="0.25">
      <c r="A3" s="3">
        <f>+'[1]Por Local'!$J8783</f>
        <v>1976</v>
      </c>
      <c r="B3" s="1">
        <f>+'[1]Por Local'!K8783</f>
        <v>1</v>
      </c>
      <c r="C3" s="1">
        <f>+'[1]Por Local'!L8783</f>
        <v>1400</v>
      </c>
      <c r="D3" s="1">
        <f>+'[1]Por Local'!M8783</f>
        <v>1</v>
      </c>
      <c r="E3" s="1">
        <f>+'[1]Por Local'!N8783</f>
        <v>1400</v>
      </c>
      <c r="F3" s="4"/>
      <c r="G3" s="2" t="s">
        <v>7</v>
      </c>
      <c r="H3" s="75">
        <f>+C29*[2]Temperatura!$G$520/1000</f>
        <v>1931827.56</v>
      </c>
      <c r="I3" s="13">
        <f>+[3]Temperatura!$G$522</f>
        <v>261907.40651716429</v>
      </c>
    </row>
    <row r="4" spans="1:11" x14ac:dyDescent="0.25">
      <c r="A4" s="3">
        <f>+'[1]Por Local'!$J8784</f>
        <v>1978</v>
      </c>
      <c r="B4" s="1">
        <f>+'[1]Por Local'!K8784</f>
        <v>1</v>
      </c>
      <c r="C4" s="1">
        <f>+'[1]Por Local'!L8784</f>
        <v>1800</v>
      </c>
      <c r="D4" s="1">
        <f>+'[1]Por Local'!M8784</f>
        <v>1</v>
      </c>
      <c r="E4" s="1">
        <f>+'[1]Por Local'!N8784</f>
        <v>1800</v>
      </c>
      <c r="F4" s="4"/>
      <c r="G4" s="2" t="s">
        <v>8</v>
      </c>
      <c r="H4" s="75">
        <f>+H3/1.48</f>
        <v>1305288.8918918918</v>
      </c>
      <c r="I4" s="13">
        <f>+I3/1.48</f>
        <v>176964.46386294885</v>
      </c>
      <c r="J4">
        <f>+I4/I3*100</f>
        <v>67.567567567567565</v>
      </c>
    </row>
    <row r="5" spans="1:11" x14ac:dyDescent="0.25">
      <c r="A5" s="3">
        <f>+'[1]Por Local'!$J8785</f>
        <v>1980</v>
      </c>
      <c r="B5" s="1">
        <f>+'[1]Por Local'!K8785</f>
        <v>12</v>
      </c>
      <c r="C5" s="1">
        <f>+'[1]Por Local'!L8785</f>
        <v>27100</v>
      </c>
      <c r="D5" s="1">
        <f>+'[1]Por Local'!M8785</f>
        <v>4</v>
      </c>
      <c r="E5" s="1">
        <f>+'[1]Por Local'!N8785</f>
        <v>4500</v>
      </c>
      <c r="F5" s="4"/>
      <c r="G5" s="17" t="s">
        <v>10</v>
      </c>
      <c r="H5" s="75"/>
      <c r="I5" s="14"/>
    </row>
    <row r="6" spans="1:11" x14ac:dyDescent="0.25">
      <c r="A6" s="3">
        <f>+'[1]Por Local'!$J8786</f>
        <v>1984</v>
      </c>
      <c r="B6" s="1">
        <f>+'[1]Por Local'!K8786</f>
        <v>1</v>
      </c>
      <c r="C6" s="1">
        <f>+'[1]Por Local'!L8786</f>
        <v>2800</v>
      </c>
      <c r="D6" s="1">
        <f>+'[1]Por Local'!M8786</f>
        <v>1</v>
      </c>
      <c r="E6" s="1">
        <f>+'[1]Por Local'!N8786</f>
        <v>2800</v>
      </c>
      <c r="F6" s="4"/>
      <c r="G6" s="15" t="s">
        <v>11</v>
      </c>
      <c r="H6" s="76">
        <f>(H3-H4)*1.2</f>
        <v>751846.40172972984</v>
      </c>
      <c r="I6" s="16">
        <f>(I3-I4)*1.2</f>
        <v>101931.53118505853</v>
      </c>
    </row>
    <row r="7" spans="1:11" x14ac:dyDescent="0.25">
      <c r="A7" s="3">
        <f>+'[1]Por Local'!$J8787</f>
        <v>1989</v>
      </c>
      <c r="B7" s="1">
        <f>+'[1]Por Local'!K8787</f>
        <v>4</v>
      </c>
      <c r="C7" s="1">
        <f>+'[1]Por Local'!L8787</f>
        <v>9500</v>
      </c>
      <c r="D7" s="1">
        <f>+'[1]Por Local'!M8787</f>
        <v>3</v>
      </c>
      <c r="E7" s="1">
        <f>+'[1]Por Local'!N8787</f>
        <v>7100</v>
      </c>
      <c r="F7" s="4"/>
      <c r="G7" s="15" t="s">
        <v>68</v>
      </c>
      <c r="H7" s="76">
        <f>+H6/2969</f>
        <v>253.23219997633205</v>
      </c>
      <c r="I7" s="16">
        <f>+I6/2969</f>
        <v>34.331940446297921</v>
      </c>
    </row>
    <row r="8" spans="1:11" ht="17.25" x14ac:dyDescent="0.25">
      <c r="A8" s="3">
        <f>+'[1]Por Local'!$J8788</f>
        <v>1990</v>
      </c>
      <c r="B8" s="1">
        <f>+'[1]Por Local'!K8788</f>
        <v>12</v>
      </c>
      <c r="C8" s="1">
        <f>+'[1]Por Local'!L8788</f>
        <v>24500</v>
      </c>
      <c r="D8" s="1">
        <f>+'[1]Por Local'!M8788</f>
        <v>7</v>
      </c>
      <c r="E8" s="1">
        <f>+'[1]Por Local'!N8788</f>
        <v>11900</v>
      </c>
      <c r="F8" s="4"/>
      <c r="G8" s="15" t="s">
        <v>6</v>
      </c>
      <c r="H8" s="76">
        <f>+(H6*RESUMEN!$J$14)/RESUMEN!$J$12</f>
        <v>69.525581235222333</v>
      </c>
      <c r="I8" s="16">
        <f>+(I6*RESUMEN!$J$14)/RESUMEN!$J$12</f>
        <v>9.4259265396935845</v>
      </c>
    </row>
    <row r="9" spans="1:11" x14ac:dyDescent="0.25">
      <c r="A9" s="3">
        <f>+'[1]Por Local'!$J8789</f>
        <v>1995</v>
      </c>
      <c r="B9" s="1">
        <f>+'[1]Por Local'!K8789</f>
        <v>18</v>
      </c>
      <c r="C9" s="1">
        <f>+'[1]Por Local'!L8789</f>
        <v>36940</v>
      </c>
      <c r="D9" s="1">
        <f>+'[1]Por Local'!M8789</f>
        <v>10</v>
      </c>
      <c r="E9" s="1">
        <f>+'[1]Por Local'!N8789</f>
        <v>16600</v>
      </c>
      <c r="F9" s="4"/>
      <c r="G9" s="15" t="s">
        <v>9</v>
      </c>
      <c r="H9" s="76">
        <f>+H8*RESUMEN!J15*17</f>
        <v>43590.622405632996</v>
      </c>
      <c r="I9" s="16">
        <f>+I8*RESUMEN!J15*17</f>
        <v>5909.796039315398</v>
      </c>
    </row>
    <row r="10" spans="1:11" x14ac:dyDescent="0.25">
      <c r="A10" s="3">
        <f>+'[1]Por Local'!$J8790</f>
        <v>1996</v>
      </c>
      <c r="B10" s="1">
        <f>+'[1]Por Local'!K8790</f>
        <v>14</v>
      </c>
      <c r="C10" s="1">
        <f>+'[1]Por Local'!L8790</f>
        <v>24460</v>
      </c>
      <c r="D10" s="1">
        <f>+'[1]Por Local'!M8790</f>
        <v>6</v>
      </c>
      <c r="E10" s="1">
        <f>+'[1]Por Local'!N8790</f>
        <v>12200</v>
      </c>
      <c r="F10" s="4"/>
    </row>
    <row r="11" spans="1:11" x14ac:dyDescent="0.25">
      <c r="A11" s="3">
        <f>+'[1]Por Local'!$J8791</f>
        <v>1997</v>
      </c>
      <c r="B11" s="1">
        <f>+'[1]Por Local'!K8791</f>
        <v>6</v>
      </c>
      <c r="C11" s="1">
        <f>+'[1]Por Local'!L8791</f>
        <v>8680</v>
      </c>
      <c r="D11" s="1">
        <f>+'[1]Por Local'!M8791</f>
        <v>0</v>
      </c>
      <c r="E11" s="1">
        <f>+'[1]Por Local'!N8791</f>
        <v>0</v>
      </c>
      <c r="F11" s="4"/>
    </row>
    <row r="12" spans="1:11" x14ac:dyDescent="0.25">
      <c r="A12" s="3">
        <f>+'[1]Por Local'!$J8792</f>
        <v>1998</v>
      </c>
      <c r="B12" s="1">
        <f>+'[1]Por Local'!K8792</f>
        <v>31</v>
      </c>
      <c r="C12" s="1">
        <f>+'[1]Por Local'!L8792</f>
        <v>56040</v>
      </c>
      <c r="D12" s="1">
        <f>+'[1]Por Local'!M8792</f>
        <v>20</v>
      </c>
      <c r="E12" s="1">
        <f>+'[1]Por Local'!N8792</f>
        <v>33600</v>
      </c>
      <c r="F12" s="4"/>
    </row>
    <row r="13" spans="1:11" x14ac:dyDescent="0.25">
      <c r="A13" s="3">
        <f>+'[1]Por Local'!$J8793</f>
        <v>1999</v>
      </c>
      <c r="B13" s="1">
        <f>+'[1]Por Local'!K8793</f>
        <v>23</v>
      </c>
      <c r="C13" s="1">
        <f>+'[1]Por Local'!L8793</f>
        <v>42321</v>
      </c>
      <c r="D13" s="1">
        <f>+'[1]Por Local'!M8793</f>
        <v>13</v>
      </c>
      <c r="E13" s="1">
        <f>+'[1]Por Local'!N8793</f>
        <v>22150</v>
      </c>
      <c r="F13" s="4"/>
    </row>
    <row r="14" spans="1:11" x14ac:dyDescent="0.25">
      <c r="A14" s="3">
        <f>+'[1]Por Local'!$J8794</f>
        <v>2000</v>
      </c>
      <c r="B14" s="1">
        <f>+'[1]Por Local'!K8794</f>
        <v>48</v>
      </c>
      <c r="C14" s="1">
        <f>+'[1]Por Local'!L8794</f>
        <v>90987</v>
      </c>
      <c r="D14" s="1">
        <f>+'[1]Por Local'!M8794</f>
        <v>16</v>
      </c>
      <c r="E14" s="1">
        <f>+'[1]Por Local'!N8794</f>
        <v>30100</v>
      </c>
      <c r="F14" s="4"/>
    </row>
    <row r="15" spans="1:11" x14ac:dyDescent="0.25">
      <c r="A15" s="3">
        <f>+'[1]Por Local'!$J8795</f>
        <v>2001</v>
      </c>
      <c r="B15" s="1">
        <f>+'[1]Por Local'!K8795</f>
        <v>9</v>
      </c>
      <c r="C15" s="1">
        <f>+'[1]Por Local'!L8795</f>
        <v>17600</v>
      </c>
      <c r="D15" s="1">
        <f>+'[1]Por Local'!M8795</f>
        <v>7</v>
      </c>
      <c r="E15" s="1">
        <f>+'[1]Por Local'!N8795</f>
        <v>12600</v>
      </c>
      <c r="F15" s="4"/>
    </row>
    <row r="16" spans="1:11" x14ac:dyDescent="0.25">
      <c r="A16" s="3">
        <f>+'[1]Por Local'!$J8796</f>
        <v>2002</v>
      </c>
      <c r="B16" s="1">
        <f>+'[1]Por Local'!K8796</f>
        <v>28</v>
      </c>
      <c r="C16" s="1">
        <f>+'[1]Por Local'!L8796</f>
        <v>51240</v>
      </c>
      <c r="D16" s="1">
        <f>+'[1]Por Local'!M8796</f>
        <v>12</v>
      </c>
      <c r="E16" s="1">
        <f>+'[1]Por Local'!N8796</f>
        <v>22700</v>
      </c>
      <c r="F16" s="4"/>
    </row>
    <row r="17" spans="1:6" x14ac:dyDescent="0.25">
      <c r="A17" s="3">
        <f>+'[1]Por Local'!$J8797</f>
        <v>2003</v>
      </c>
      <c r="B17" s="1">
        <f>+'[1]Por Local'!K8797</f>
        <v>26</v>
      </c>
      <c r="C17" s="1">
        <f>+'[1]Por Local'!L8797</f>
        <v>46450</v>
      </c>
      <c r="D17" s="1">
        <f>+'[1]Por Local'!M8797</f>
        <v>10</v>
      </c>
      <c r="E17" s="1">
        <f>+'[1]Por Local'!N8797</f>
        <v>18750</v>
      </c>
      <c r="F17" s="4"/>
    </row>
    <row r="18" spans="1:6" x14ac:dyDescent="0.25">
      <c r="A18" s="3">
        <f>+'[1]Por Local'!$J8798</f>
        <v>2004</v>
      </c>
      <c r="B18" s="1">
        <f>+'[1]Por Local'!K8798</f>
        <v>29</v>
      </c>
      <c r="C18" s="1">
        <f>+'[1]Por Local'!L8798</f>
        <v>48032</v>
      </c>
      <c r="D18" s="1">
        <f>+'[1]Por Local'!M8798</f>
        <v>11</v>
      </c>
      <c r="E18" s="1">
        <f>+'[1]Por Local'!N8798</f>
        <v>15675</v>
      </c>
      <c r="F18" s="4"/>
    </row>
    <row r="19" spans="1:6" x14ac:dyDescent="0.25">
      <c r="A19" s="3">
        <f>+'[1]Por Local'!$J8799</f>
        <v>2005</v>
      </c>
      <c r="B19" s="1">
        <f>+'[1]Por Local'!K8799</f>
        <v>119</v>
      </c>
      <c r="C19" s="1">
        <f>+'[1]Por Local'!L8799</f>
        <v>224140</v>
      </c>
      <c r="D19" s="1">
        <f>+'[1]Por Local'!M8799</f>
        <v>27</v>
      </c>
      <c r="E19" s="1">
        <f>+'[1]Por Local'!N8799</f>
        <v>42230</v>
      </c>
      <c r="F19" s="4"/>
    </row>
    <row r="20" spans="1:6" x14ac:dyDescent="0.25">
      <c r="A20" s="3">
        <f>+'[1]Por Local'!$J8800</f>
        <v>2006</v>
      </c>
      <c r="B20" s="1">
        <f>+'[1]Por Local'!K8800</f>
        <v>72</v>
      </c>
      <c r="C20" s="1">
        <f>+'[1]Por Local'!L8800</f>
        <v>123048</v>
      </c>
      <c r="D20" s="1">
        <f>+'[1]Por Local'!M8800</f>
        <v>27</v>
      </c>
      <c r="E20" s="1">
        <f>+'[1]Por Local'!N8800</f>
        <v>49100</v>
      </c>
      <c r="F20" s="4"/>
    </row>
    <row r="21" spans="1:6" x14ac:dyDescent="0.25">
      <c r="A21" s="3">
        <f>+'[1]Por Local'!$J8801</f>
        <v>2007</v>
      </c>
      <c r="B21" s="1">
        <f>+'[1]Por Local'!K8801</f>
        <v>30</v>
      </c>
      <c r="C21" s="1">
        <f>+'[1]Por Local'!L8801</f>
        <v>48631</v>
      </c>
      <c r="D21" s="1">
        <f>+'[1]Por Local'!M8801</f>
        <v>9</v>
      </c>
      <c r="E21" s="1">
        <f>+'[1]Por Local'!N8801</f>
        <v>15870</v>
      </c>
      <c r="F21" s="4"/>
    </row>
    <row r="22" spans="1:6" x14ac:dyDescent="0.25">
      <c r="A22" s="3">
        <f>+'[1]Por Local'!$J8802</f>
        <v>2008</v>
      </c>
      <c r="B22" s="1">
        <f>+'[1]Por Local'!K8802</f>
        <v>121</v>
      </c>
      <c r="C22" s="1">
        <f>+'[1]Por Local'!L8802</f>
        <v>205759</v>
      </c>
      <c r="D22" s="1">
        <f>+'[1]Por Local'!M8802</f>
        <v>68</v>
      </c>
      <c r="E22" s="1">
        <f>+'[1]Por Local'!N8802</f>
        <v>103506</v>
      </c>
      <c r="F22" s="4"/>
    </row>
    <row r="23" spans="1:6" x14ac:dyDescent="0.25">
      <c r="A23" s="3">
        <f>+'[1]Por Local'!$J8803</f>
        <v>2009</v>
      </c>
      <c r="B23" s="1">
        <f>+'[1]Por Local'!K8803</f>
        <v>148</v>
      </c>
      <c r="C23" s="1">
        <f>+'[1]Por Local'!L8803</f>
        <v>225109</v>
      </c>
      <c r="D23" s="1">
        <f>+'[1]Por Local'!M8803</f>
        <v>50</v>
      </c>
      <c r="E23" s="1">
        <f>+'[1]Por Local'!N8803</f>
        <v>87960</v>
      </c>
      <c r="F23" s="4"/>
    </row>
    <row r="24" spans="1:6" x14ac:dyDescent="0.25">
      <c r="A24" s="3">
        <f>+'[1]Por Local'!$J8804</f>
        <v>2010</v>
      </c>
      <c r="B24" s="1">
        <f>+'[1]Por Local'!K8804</f>
        <v>316</v>
      </c>
      <c r="C24" s="1">
        <f>+'[1]Por Local'!L8804</f>
        <v>555117</v>
      </c>
      <c r="D24" s="1">
        <f>+'[1]Por Local'!M8804</f>
        <v>102</v>
      </c>
      <c r="E24" s="1">
        <f>+'[1]Por Local'!N8804</f>
        <v>183310</v>
      </c>
      <c r="F24" s="4"/>
    </row>
    <row r="25" spans="1:6" x14ac:dyDescent="0.25">
      <c r="A25" s="3">
        <f>+'[1]Por Local'!$J8805</f>
        <v>2011</v>
      </c>
      <c r="B25" s="1">
        <f>+'[1]Por Local'!K8805</f>
        <v>155</v>
      </c>
      <c r="C25" s="1">
        <f>+'[1]Por Local'!L8805</f>
        <v>258826</v>
      </c>
      <c r="D25" s="1">
        <f>+'[1]Por Local'!M8805</f>
        <v>47</v>
      </c>
      <c r="E25" s="1">
        <f>+'[1]Por Local'!N8805</f>
        <v>89960</v>
      </c>
      <c r="F25" s="4"/>
    </row>
    <row r="26" spans="1:6" x14ac:dyDescent="0.25">
      <c r="A26" s="3">
        <f>+'[1]Por Local'!$J8806</f>
        <v>2012</v>
      </c>
      <c r="B26" s="1">
        <f>+'[1]Por Local'!K8806</f>
        <v>147</v>
      </c>
      <c r="C26" s="1">
        <f>+'[1]Por Local'!L8806</f>
        <v>224619</v>
      </c>
      <c r="D26" s="1">
        <f>+'[1]Por Local'!M8806</f>
        <v>55</v>
      </c>
      <c r="E26" s="1">
        <f>+'[1]Por Local'!N8806</f>
        <v>89005</v>
      </c>
      <c r="F26" s="4"/>
    </row>
    <row r="27" spans="1:6" x14ac:dyDescent="0.25">
      <c r="A27" s="3">
        <f>+'[1]Por Local'!$J8807</f>
        <v>2013</v>
      </c>
      <c r="B27" s="1">
        <f>+'[1]Por Local'!K8807</f>
        <v>44</v>
      </c>
      <c r="C27" s="1">
        <f>+'[1]Por Local'!L8807</f>
        <v>93500</v>
      </c>
      <c r="D27" s="1">
        <f>+'[1]Por Local'!M8807</f>
        <v>11</v>
      </c>
      <c r="E27" s="1">
        <f>+'[1]Por Local'!N8807</f>
        <v>22350</v>
      </c>
      <c r="F27" s="4"/>
    </row>
    <row r="28" spans="1:6" x14ac:dyDescent="0.25">
      <c r="A28" s="3">
        <f>+'[1]Por Local'!$J8808</f>
        <v>2014</v>
      </c>
      <c r="B28" s="1">
        <f>+'[1]Por Local'!K8808</f>
        <v>7</v>
      </c>
      <c r="C28" s="1">
        <f>+'[1]Por Local'!L8808</f>
        <v>13981</v>
      </c>
      <c r="D28" s="1">
        <f>+'[1]Por Local'!M8808</f>
        <v>5</v>
      </c>
      <c r="E28" s="1">
        <f>+'[1]Por Local'!N8808</f>
        <v>10281</v>
      </c>
      <c r="F28" s="4"/>
    </row>
    <row r="29" spans="1:6" x14ac:dyDescent="0.25">
      <c r="A29" s="5" t="s">
        <v>5</v>
      </c>
      <c r="B29" s="6">
        <f>+SUM(B3:B22)</f>
        <v>605</v>
      </c>
      <c r="C29" s="6">
        <f t="shared" ref="C29:E29" si="0">+SUM(C3:C22)</f>
        <v>1091428</v>
      </c>
      <c r="D29" s="6">
        <f t="shared" si="0"/>
        <v>253</v>
      </c>
      <c r="E29" s="6">
        <f t="shared" si="0"/>
        <v>424581</v>
      </c>
      <c r="F29" s="4"/>
    </row>
    <row r="30" spans="1:6" ht="15.75" thickBot="1" x14ac:dyDescent="0.3">
      <c r="A30" s="5" t="s">
        <v>4</v>
      </c>
      <c r="B30" s="6">
        <f>+SUM(B3:B28)</f>
        <v>1422</v>
      </c>
      <c r="C30" s="6">
        <f t="shared" ref="C30:E30" si="1">+SUM(C3:C28)</f>
        <v>2462580</v>
      </c>
      <c r="D30" s="6">
        <f t="shared" si="1"/>
        <v>523</v>
      </c>
      <c r="E30" s="6">
        <f t="shared" si="1"/>
        <v>907447</v>
      </c>
    </row>
    <row r="31" spans="1:6" ht="15.75" thickBot="1" x14ac:dyDescent="0.3">
      <c r="A31" s="52" t="s">
        <v>64</v>
      </c>
      <c r="B31" s="53">
        <f>+B29/B30*100</f>
        <v>42.545710267229254</v>
      </c>
      <c r="C31" s="53"/>
      <c r="D31" s="53">
        <f>+D29/D30*100</f>
        <v>48.374760994263859</v>
      </c>
      <c r="E31" s="54"/>
    </row>
  </sheetData>
  <mergeCells count="4">
    <mergeCell ref="H1:I1"/>
    <mergeCell ref="A1:D1"/>
    <mergeCell ref="B2:C2"/>
    <mergeCell ref="D2:E2"/>
  </mergeCell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workbookViewId="0">
      <selection activeCell="I28" sqref="I28"/>
    </sheetView>
  </sheetViews>
  <sheetFormatPr baseColWidth="10" defaultRowHeight="15" x14ac:dyDescent="0.25"/>
  <cols>
    <col min="3" max="3" width="12.42578125" bestFit="1" customWidth="1"/>
    <col min="10" max="10" width="25.42578125" bestFit="1" customWidth="1"/>
  </cols>
  <sheetData>
    <row r="1" spans="1:12" ht="30" x14ac:dyDescent="0.25">
      <c r="A1" s="57" t="s">
        <v>12</v>
      </c>
      <c r="B1" s="57"/>
      <c r="C1" s="57"/>
      <c r="D1" s="57"/>
      <c r="K1" s="11" t="str">
        <f>+Aires!H2</f>
        <v>Total País</v>
      </c>
      <c r="L1" s="27" t="str">
        <f>+Aires!I2</f>
        <v>EDENOR + EDESUR</v>
      </c>
    </row>
    <row r="2" spans="1:12" x14ac:dyDescent="0.25">
      <c r="A2" s="60" t="s">
        <v>16</v>
      </c>
      <c r="B2" s="60"/>
      <c r="C2" s="60"/>
      <c r="D2" s="60"/>
      <c r="E2" s="60"/>
      <c r="F2" s="60"/>
      <c r="G2" s="60"/>
      <c r="J2" s="65" t="s">
        <v>10</v>
      </c>
      <c r="K2" s="66"/>
      <c r="L2" s="67"/>
    </row>
    <row r="3" spans="1:12" x14ac:dyDescent="0.25">
      <c r="A3" s="55" t="s">
        <v>18</v>
      </c>
      <c r="B3" s="56"/>
      <c r="C3" s="56"/>
      <c r="D3" s="61"/>
      <c r="E3" s="62" t="s">
        <v>19</v>
      </c>
      <c r="F3" s="63"/>
      <c r="G3" s="64"/>
      <c r="J3" s="15" t="s">
        <v>11</v>
      </c>
      <c r="K3" s="16">
        <f>F10*1.2*1000</f>
        <v>589616.70989853027</v>
      </c>
      <c r="L3" s="16">
        <f>F20*1.2*1000</f>
        <v>105650.03758064531</v>
      </c>
    </row>
    <row r="4" spans="1:12" x14ac:dyDescent="0.25">
      <c r="A4" s="2"/>
      <c r="B4" s="2" t="s">
        <v>13</v>
      </c>
      <c r="C4" s="2" t="s">
        <v>14</v>
      </c>
      <c r="D4" s="22" t="s">
        <v>17</v>
      </c>
      <c r="E4" s="15"/>
      <c r="F4" s="15"/>
      <c r="G4" s="15"/>
      <c r="J4" s="15" t="s">
        <v>68</v>
      </c>
      <c r="K4" s="16">
        <f>+K3/2969</f>
        <v>198.59101040704959</v>
      </c>
      <c r="L4" s="16">
        <f>+L3/2969</f>
        <v>35.584384500048941</v>
      </c>
    </row>
    <row r="5" spans="1:12" ht="17.25" x14ac:dyDescent="0.25">
      <c r="A5" s="2" t="str">
        <f>+[4]TOTAL.PAIS!A14</f>
        <v>Tubos T10</v>
      </c>
      <c r="B5" s="21">
        <f>+[4]TOTAL.PAIS!B14</f>
        <v>17036</v>
      </c>
      <c r="C5" s="21">
        <f>+[4]TOTAL.PAIS!C14</f>
        <v>629882</v>
      </c>
      <c r="D5" s="21">
        <f>+C5/B5</f>
        <v>36.973585348673396</v>
      </c>
      <c r="E5" s="23">
        <f>+C5/D5*D8</f>
        <v>614892.98303624534</v>
      </c>
      <c r="F5" s="24">
        <f>+C5-E5</f>
        <v>14989.016963754664</v>
      </c>
      <c r="G5" s="25">
        <f>+F5/C5</f>
        <v>2.3796547549786568E-2</v>
      </c>
      <c r="J5" s="15" t="s">
        <v>6</v>
      </c>
      <c r="K5" s="16">
        <f>+(K3*RESUMEN!$J$14)/RESUMEN!$J$12</f>
        <v>54.523695754057634</v>
      </c>
      <c r="L5" s="16">
        <f>+(L3*RESUMEN!$J$14)/RESUMEN!$J$12</f>
        <v>9.7697884214360187</v>
      </c>
    </row>
    <row r="6" spans="1:12" x14ac:dyDescent="0.25">
      <c r="A6" s="2" t="str">
        <f>+[4]TOTAL.PAIS!A15</f>
        <v>Tubos T12</v>
      </c>
      <c r="B6" s="21">
        <f>+[4]TOTAL.PAIS!B15</f>
        <v>28456</v>
      </c>
      <c r="C6" s="21">
        <f>+[4]TOTAL.PAIS!C15</f>
        <v>1183236</v>
      </c>
      <c r="D6" s="21">
        <f t="shared" ref="D6:D8" si="0">+C6/B6</f>
        <v>41.581248242901324</v>
      </c>
      <c r="E6" s="23">
        <f>+C6/D6*D8</f>
        <v>1027083.5128715306</v>
      </c>
      <c r="F6" s="24">
        <f>+C6-E6</f>
        <v>156152.48712846939</v>
      </c>
      <c r="G6" s="25">
        <f>+F6/C6</f>
        <v>0.13197070333261446</v>
      </c>
      <c r="J6" s="15" t="s">
        <v>9</v>
      </c>
      <c r="K6" s="16">
        <f>+K5*RESUMEN!J15*17</f>
        <v>34184.853855931113</v>
      </c>
      <c r="L6" s="16">
        <f>+L5*RESUMEN!J15*17</f>
        <v>6125.3879578642391</v>
      </c>
    </row>
    <row r="7" spans="1:12" x14ac:dyDescent="0.25">
      <c r="A7" s="2" t="str">
        <f>+[4]TOTAL.PAIS!A16</f>
        <v>Tubos T5</v>
      </c>
      <c r="B7" s="21">
        <f>+[4]TOTAL.PAIS!B16</f>
        <v>3659</v>
      </c>
      <c r="C7" s="21">
        <f>+[4]TOTAL.PAIS!C16</f>
        <v>108974</v>
      </c>
      <c r="D7" s="21">
        <f t="shared" si="0"/>
        <v>29.782454222465155</v>
      </c>
      <c r="E7" s="23">
        <f>+C7</f>
        <v>108974</v>
      </c>
      <c r="F7" s="24"/>
      <c r="G7" s="25"/>
    </row>
    <row r="8" spans="1:12" x14ac:dyDescent="0.25">
      <c r="A8" s="2" t="str">
        <f>+[4]TOTAL.PAIS!A17</f>
        <v>Tubos T8</v>
      </c>
      <c r="B8" s="21">
        <f>+[4]TOTAL.PAIS!B17</f>
        <v>146253</v>
      </c>
      <c r="C8" s="21">
        <f>+[4]TOTAL.PAIS!C17</f>
        <v>5278818</v>
      </c>
      <c r="D8" s="21">
        <f t="shared" si="0"/>
        <v>36.093741666837602</v>
      </c>
      <c r="E8" s="16">
        <f>+C8</f>
        <v>5278818</v>
      </c>
      <c r="F8" s="24"/>
      <c r="G8" s="25"/>
    </row>
    <row r="9" spans="1:12" x14ac:dyDescent="0.25">
      <c r="B9" s="18">
        <f>+SUM(B5:B8)</f>
        <v>195404</v>
      </c>
      <c r="C9" s="18">
        <f>+SUM(C5:C8)</f>
        <v>7200910</v>
      </c>
      <c r="D9" s="18"/>
      <c r="E9" s="18">
        <f>+SUM(E5:E8)</f>
        <v>7029768.4959077761</v>
      </c>
      <c r="F9" s="18">
        <f>+SUM(F5:F8)</f>
        <v>171141.50409222406</v>
      </c>
      <c r="G9" s="19">
        <f>+F9/C9</f>
        <v>2.3766649505718589E-2</v>
      </c>
    </row>
    <row r="10" spans="1:12" x14ac:dyDescent="0.25">
      <c r="F10" s="26">
        <f>+F9*11*261/1000000</f>
        <v>491.34725824877529</v>
      </c>
      <c r="G10" s="5" t="s">
        <v>15</v>
      </c>
    </row>
    <row r="11" spans="1:12" x14ac:dyDescent="0.25">
      <c r="F11" s="20"/>
    </row>
    <row r="12" spans="1:12" x14ac:dyDescent="0.25">
      <c r="A12" s="60" t="s">
        <v>3</v>
      </c>
      <c r="B12" s="60"/>
      <c r="C12" s="60"/>
      <c r="D12" s="60"/>
      <c r="E12" s="60"/>
      <c r="F12" s="60"/>
      <c r="G12" s="60"/>
    </row>
    <row r="13" spans="1:12" x14ac:dyDescent="0.25">
      <c r="A13" s="55" t="s">
        <v>18</v>
      </c>
      <c r="B13" s="56"/>
      <c r="C13" s="56"/>
      <c r="D13" s="61"/>
      <c r="E13" s="62" t="s">
        <v>19</v>
      </c>
      <c r="F13" s="63"/>
      <c r="G13" s="64"/>
    </row>
    <row r="14" spans="1:12" x14ac:dyDescent="0.25">
      <c r="A14" s="2"/>
      <c r="B14" s="2" t="s">
        <v>13</v>
      </c>
      <c r="C14" s="2" t="s">
        <v>14</v>
      </c>
      <c r="D14" s="22" t="s">
        <v>17</v>
      </c>
      <c r="E14" s="15"/>
      <c r="F14" s="15"/>
      <c r="G14" s="15"/>
    </row>
    <row r="15" spans="1:12" x14ac:dyDescent="0.25">
      <c r="A15" s="2" t="str">
        <f>+[4]EDENOR.SUR!A30</f>
        <v>Tubos T10</v>
      </c>
      <c r="B15" s="21">
        <f>+[4]EDENOR.SUR!B30</f>
        <v>4844</v>
      </c>
      <c r="C15" s="21">
        <f>+[4]EDENOR.SUR!C30</f>
        <v>137251</v>
      </c>
      <c r="D15" s="21">
        <f>+C15/B15</f>
        <v>28.334227910817507</v>
      </c>
      <c r="E15" s="23">
        <f>+C15/D15*D18</f>
        <v>179748.56087010258</v>
      </c>
      <c r="F15" s="24"/>
      <c r="G15" s="25"/>
    </row>
    <row r="16" spans="1:12" x14ac:dyDescent="0.25">
      <c r="A16" s="2" t="str">
        <f>+[4]EDENOR.SUR!A31</f>
        <v>Tubos T12</v>
      </c>
      <c r="B16" s="21">
        <f>+[4]EDENOR.SUR!B31</f>
        <v>4077</v>
      </c>
      <c r="C16" s="21">
        <f>+[4]EDENOR.SUR!C31</f>
        <v>181953</v>
      </c>
      <c r="D16" s="21">
        <f t="shared" ref="D16:D18" si="1">+C16/B16</f>
        <v>44.629139072847686</v>
      </c>
      <c r="E16" s="23">
        <f>+C16/D16*D18</f>
        <v>151287.13515016681</v>
      </c>
      <c r="F16" s="24">
        <f>+C16-E16</f>
        <v>30665.86484983319</v>
      </c>
      <c r="G16" s="25">
        <f>+F16/C16</f>
        <v>0.16853728627630865</v>
      </c>
    </row>
    <row r="17" spans="1:7" x14ac:dyDescent="0.25">
      <c r="A17" s="2" t="str">
        <f>+[4]EDENOR.SUR!A32</f>
        <v>Tubos T5</v>
      </c>
      <c r="B17" s="21">
        <f>+[4]EDENOR.SUR!B32</f>
        <v>2015</v>
      </c>
      <c r="C17" s="21">
        <f>+[4]EDENOR.SUR!C32</f>
        <v>51118</v>
      </c>
      <c r="D17" s="21">
        <f t="shared" si="1"/>
        <v>25.368734491315138</v>
      </c>
      <c r="E17" s="23">
        <f>+C17</f>
        <v>51118</v>
      </c>
      <c r="F17" s="24"/>
      <c r="G17" s="25"/>
    </row>
    <row r="18" spans="1:7" x14ac:dyDescent="0.25">
      <c r="A18" s="2" t="str">
        <f>+[4]EDENOR.SUR!A33</f>
        <v>Tubos T8</v>
      </c>
      <c r="B18" s="21">
        <f>+[4]EDENOR.SUR!B33</f>
        <v>32364</v>
      </c>
      <c r="C18" s="21">
        <f>+[4]EDENOR.SUR!C33</f>
        <v>1200946</v>
      </c>
      <c r="D18" s="21">
        <f t="shared" si="1"/>
        <v>37.107465084661968</v>
      </c>
      <c r="E18" s="16">
        <f>+C18</f>
        <v>1200946</v>
      </c>
      <c r="F18" s="24"/>
      <c r="G18" s="25"/>
    </row>
    <row r="19" spans="1:7" x14ac:dyDescent="0.25">
      <c r="B19" s="18">
        <f>+SUM(B15:B18)</f>
        <v>43300</v>
      </c>
      <c r="C19" s="18">
        <f>+SUM(C15:C18)</f>
        <v>1571268</v>
      </c>
      <c r="D19" s="18"/>
      <c r="E19" s="18">
        <f>+SUM(E15:E18)</f>
        <v>1583099.6960202693</v>
      </c>
      <c r="F19" s="18">
        <f>+SUM(F15:F18)</f>
        <v>30665.86484983319</v>
      </c>
      <c r="G19" s="19">
        <f>+F19/C19</f>
        <v>1.9516635513377213E-2</v>
      </c>
    </row>
    <row r="20" spans="1:7" x14ac:dyDescent="0.25">
      <c r="F20" s="26">
        <f>+F19*11*261/1000000</f>
        <v>88.041697983871089</v>
      </c>
      <c r="G20" s="5" t="s">
        <v>15</v>
      </c>
    </row>
    <row r="21" spans="1:7" x14ac:dyDescent="0.25">
      <c r="F21" s="20"/>
    </row>
  </sheetData>
  <mergeCells count="8">
    <mergeCell ref="A13:D13"/>
    <mergeCell ref="E13:G13"/>
    <mergeCell ref="J2:L2"/>
    <mergeCell ref="A1:D1"/>
    <mergeCell ref="A2:G2"/>
    <mergeCell ref="A3:D3"/>
    <mergeCell ref="E3:G3"/>
    <mergeCell ref="A12:G12"/>
  </mergeCell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"/>
  <sheetViews>
    <sheetView workbookViewId="0">
      <selection activeCell="G3" sqref="G3"/>
    </sheetView>
  </sheetViews>
  <sheetFormatPr baseColWidth="10" defaultRowHeight="15" x14ac:dyDescent="0.25"/>
  <cols>
    <col min="4" max="5" width="11.42578125" customWidth="1"/>
    <col min="7" max="7" width="25.42578125" bestFit="1" customWidth="1"/>
  </cols>
  <sheetData>
    <row r="1" spans="1:8" x14ac:dyDescent="0.25">
      <c r="A1" s="5" t="s">
        <v>57</v>
      </c>
      <c r="G1" s="65" t="s">
        <v>10</v>
      </c>
      <c r="H1" s="67"/>
    </row>
    <row r="2" spans="1:8" x14ac:dyDescent="0.25">
      <c r="A2" s="31" t="s">
        <v>28</v>
      </c>
      <c r="B2" s="30"/>
      <c r="C2" s="30"/>
      <c r="D2" s="30"/>
      <c r="E2" s="30"/>
      <c r="G2" s="15" t="s">
        <v>11</v>
      </c>
      <c r="H2" s="16">
        <f>+[5]RESUMEN!$J$18*1.2</f>
        <v>7546582.7579999994</v>
      </c>
    </row>
    <row r="3" spans="1:8" x14ac:dyDescent="0.25">
      <c r="A3" s="31"/>
      <c r="B3" s="30"/>
      <c r="C3" s="30"/>
      <c r="D3" s="30"/>
      <c r="E3" s="30"/>
      <c r="G3" s="15" t="s">
        <v>68</v>
      </c>
      <c r="H3" s="16">
        <f>+H2/2969</f>
        <v>2541.792778039744</v>
      </c>
    </row>
    <row r="4" spans="1:8" ht="17.25" x14ac:dyDescent="0.25">
      <c r="A4" s="31" t="s">
        <v>66</v>
      </c>
      <c r="B4" s="30"/>
      <c r="C4" s="30"/>
      <c r="D4" s="30"/>
      <c r="G4" s="15" t="s">
        <v>6</v>
      </c>
      <c r="H4" s="16">
        <f>+H2*RESUMEN!J14/RESUMEN!J12</f>
        <v>697.85603998709666</v>
      </c>
    </row>
    <row r="5" spans="1:8" x14ac:dyDescent="0.25">
      <c r="A5" s="31" t="s">
        <v>65</v>
      </c>
      <c r="B5" s="30"/>
      <c r="C5" s="30"/>
      <c r="D5" s="30"/>
      <c r="G5" s="15" t="s">
        <v>9</v>
      </c>
      <c r="H5" s="16">
        <f>+H4*RESUMEN!$J$15*17</f>
        <v>437536.495087319</v>
      </c>
    </row>
  </sheetData>
  <mergeCells count="1">
    <mergeCell ref="G1:H1"/>
  </mergeCell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35"/>
  <sheetViews>
    <sheetView topLeftCell="A25" workbookViewId="0">
      <selection activeCell="J34" sqref="J34"/>
    </sheetView>
  </sheetViews>
  <sheetFormatPr baseColWidth="10" defaultRowHeight="15" x14ac:dyDescent="0.25"/>
  <cols>
    <col min="4" max="5" width="11.42578125" customWidth="1"/>
    <col min="7" max="7" width="25.42578125" bestFit="1" customWidth="1"/>
  </cols>
  <sheetData>
    <row r="2" spans="1:16" x14ac:dyDescent="0.25">
      <c r="A2" s="5" t="s">
        <v>29</v>
      </c>
      <c r="G2" s="65" t="s">
        <v>10</v>
      </c>
      <c r="H2" s="66"/>
      <c r="I2" s="67"/>
      <c r="J2" s="34" t="s">
        <v>4</v>
      </c>
    </row>
    <row r="3" spans="1:16" x14ac:dyDescent="0.25">
      <c r="A3" s="5"/>
      <c r="G3" s="29"/>
      <c r="H3" s="32" t="s">
        <v>32</v>
      </c>
      <c r="I3" s="28" t="s">
        <v>33</v>
      </c>
      <c r="J3" s="34"/>
    </row>
    <row r="4" spans="1:16" x14ac:dyDescent="0.25">
      <c r="A4" s="31" t="s">
        <v>44</v>
      </c>
      <c r="G4" s="15" t="s">
        <v>11</v>
      </c>
      <c r="H4" s="16">
        <v>22996.979999999996</v>
      </c>
      <c r="I4" s="33" t="s">
        <v>34</v>
      </c>
      <c r="J4" s="35">
        <f>+SUM(H4:I4)</f>
        <v>22996.979999999996</v>
      </c>
    </row>
    <row r="5" spans="1:16" x14ac:dyDescent="0.25">
      <c r="A5" t="s">
        <v>30</v>
      </c>
      <c r="G5" s="15" t="s">
        <v>68</v>
      </c>
      <c r="H5" s="16">
        <f>+H4/2969</f>
        <v>7.7456988885146503</v>
      </c>
      <c r="I5" s="33" t="s">
        <v>34</v>
      </c>
      <c r="J5" s="35">
        <f t="shared" ref="J5" si="0">+J4/2969</f>
        <v>7.7456988885146503</v>
      </c>
    </row>
    <row r="6" spans="1:16" ht="17.25" x14ac:dyDescent="0.25">
      <c r="A6" t="s">
        <v>31</v>
      </c>
      <c r="G6" s="15" t="s">
        <v>6</v>
      </c>
      <c r="H6" s="16">
        <f>(H4*RESUMEN!$J$14)/RESUMEN!$J$12</f>
        <v>2.1266024516129027</v>
      </c>
      <c r="I6" s="33" t="s">
        <v>34</v>
      </c>
      <c r="J6" s="35">
        <f>(J4*RESUMEN!$J$14)/RESUMEN!$J$12</f>
        <v>2.1266024516129027</v>
      </c>
    </row>
    <row r="7" spans="1:16" x14ac:dyDescent="0.25">
      <c r="G7" s="15" t="s">
        <v>9</v>
      </c>
      <c r="H7" s="16">
        <f>+H6*RESUMEN!$J$15*17</f>
        <v>1333.3211003518916</v>
      </c>
      <c r="I7" s="33" t="s">
        <v>34</v>
      </c>
      <c r="J7" s="35">
        <f>+J6*RESUMEN!$J$15*17</f>
        <v>1333.3211003518916</v>
      </c>
    </row>
    <row r="10" spans="1:16" x14ac:dyDescent="0.25">
      <c r="A10" s="5" t="s">
        <v>35</v>
      </c>
    </row>
    <row r="11" spans="1:16" x14ac:dyDescent="0.25">
      <c r="A11" s="5"/>
    </row>
    <row r="12" spans="1:16" x14ac:dyDescent="0.25">
      <c r="A12" s="31" t="s">
        <v>44</v>
      </c>
      <c r="G12" s="65" t="s">
        <v>10</v>
      </c>
      <c r="H12" s="66"/>
      <c r="I12" s="67"/>
    </row>
    <row r="13" spans="1:16" x14ac:dyDescent="0.25">
      <c r="A13" t="s">
        <v>43</v>
      </c>
      <c r="G13" s="68"/>
      <c r="H13" s="70" t="s">
        <v>32</v>
      </c>
      <c r="I13" s="70" t="s">
        <v>33</v>
      </c>
      <c r="J13" s="70" t="s">
        <v>45</v>
      </c>
      <c r="K13" s="62" t="s">
        <v>46</v>
      </c>
      <c r="L13" s="63"/>
      <c r="M13" s="64"/>
      <c r="N13" s="62" t="s">
        <v>47</v>
      </c>
      <c r="O13" s="64"/>
      <c r="P13" s="34" t="s">
        <v>4</v>
      </c>
    </row>
    <row r="14" spans="1:16" x14ac:dyDescent="0.25">
      <c r="A14" t="s">
        <v>42</v>
      </c>
      <c r="G14" s="69"/>
      <c r="H14" s="71"/>
      <c r="I14" s="71"/>
      <c r="J14" s="71"/>
      <c r="K14" s="32" t="s">
        <v>48</v>
      </c>
      <c r="L14" s="32" t="s">
        <v>49</v>
      </c>
      <c r="M14" s="32" t="s">
        <v>50</v>
      </c>
      <c r="N14" s="32" t="s">
        <v>48</v>
      </c>
      <c r="O14" s="32" t="s">
        <v>49</v>
      </c>
      <c r="P14" s="34"/>
    </row>
    <row r="15" spans="1:16" x14ac:dyDescent="0.25">
      <c r="A15" t="s">
        <v>41</v>
      </c>
      <c r="G15" s="15" t="s">
        <v>11</v>
      </c>
      <c r="H15" s="16">
        <v>2924</v>
      </c>
      <c r="I15" s="16">
        <v>12288</v>
      </c>
      <c r="J15" s="16">
        <v>1198</v>
      </c>
      <c r="K15" s="16">
        <v>2996</v>
      </c>
      <c r="L15" s="16">
        <v>27216</v>
      </c>
      <c r="M15" s="33" t="s">
        <v>34</v>
      </c>
      <c r="N15" s="16">
        <v>3989</v>
      </c>
      <c r="O15" s="33" t="s">
        <v>34</v>
      </c>
      <c r="P15" s="35">
        <f>+SUM(H15:O15)</f>
        <v>50611</v>
      </c>
    </row>
    <row r="16" spans="1:16" x14ac:dyDescent="0.25">
      <c r="A16" t="s">
        <v>40</v>
      </c>
      <c r="G16" s="15" t="s">
        <v>68</v>
      </c>
      <c r="H16" s="16">
        <f>+H15/2969</f>
        <v>0.98484338160996965</v>
      </c>
      <c r="I16" s="16">
        <f t="shared" ref="I16:N16" si="1">+I15/2969</f>
        <v>4.1387672617042774</v>
      </c>
      <c r="J16" s="16">
        <f t="shared" si="1"/>
        <v>0.40350286291680698</v>
      </c>
      <c r="K16" s="16">
        <f t="shared" si="1"/>
        <v>1.0090939710340181</v>
      </c>
      <c r="L16" s="16">
        <f t="shared" si="1"/>
        <v>9.1667228022903338</v>
      </c>
      <c r="M16" s="33" t="s">
        <v>34</v>
      </c>
      <c r="N16" s="16">
        <f t="shared" si="1"/>
        <v>1.3435500168406871</v>
      </c>
      <c r="O16" s="33" t="s">
        <v>34</v>
      </c>
      <c r="P16" s="35">
        <f t="shared" ref="P16" si="2">+P15/2969</f>
        <v>17.046480296396094</v>
      </c>
    </row>
    <row r="17" spans="1:16" ht="17.25" x14ac:dyDescent="0.25">
      <c r="A17" t="s">
        <v>36</v>
      </c>
      <c r="G17" s="15" t="s">
        <v>6</v>
      </c>
      <c r="H17" s="50">
        <f>(H15*RESUMEN!$J$14)/RESUMEN!$J$12</f>
        <v>0.27039139784946237</v>
      </c>
      <c r="I17" s="50">
        <f>(I15*RESUMEN!$J$14)/RESUMEN!$J$12</f>
        <v>1.1363096774193548</v>
      </c>
      <c r="J17" s="50">
        <f>(J15*RESUMEN!$J$14)/RESUMEN!$J$12</f>
        <v>0.11078279569892473</v>
      </c>
      <c r="K17" s="50">
        <f>(K15*RESUMEN!$J$14)/RESUMEN!$J$12</f>
        <v>0.27704946236559141</v>
      </c>
      <c r="L17" s="50">
        <f>(L15*RESUMEN!$J$14)/RESUMEN!$J$12</f>
        <v>2.5167483870967744</v>
      </c>
      <c r="M17" s="16"/>
      <c r="N17" s="50">
        <f>(N15*RESUMEN!$J$14)/RESUMEN!$J$12</f>
        <v>0.36887526881720428</v>
      </c>
      <c r="O17" s="16"/>
      <c r="P17" s="35">
        <f>(P15*RESUMEN!$J$14)/RESUMEN!$J$12</f>
        <v>4.6801569892473118</v>
      </c>
    </row>
    <row r="18" spans="1:16" x14ac:dyDescent="0.25">
      <c r="A18" t="s">
        <v>37</v>
      </c>
      <c r="G18" s="15" t="s">
        <v>9</v>
      </c>
      <c r="H18" s="16">
        <f>+H17*RESUMEN!$J$15*17</f>
        <v>169.52795094960001</v>
      </c>
      <c r="I18" s="16">
        <f>+I17*RESUMEN!$J$15*17</f>
        <v>712.43483627520004</v>
      </c>
      <c r="J18" s="16">
        <f>+J17*RESUMEN!$J$15*17</f>
        <v>69.457758289199987</v>
      </c>
      <c r="K18" s="16">
        <f>+K17*RESUMEN!$J$15*17</f>
        <v>173.70237381839999</v>
      </c>
      <c r="L18" s="16">
        <f>+L17*RESUMEN!$J$15*17</f>
        <v>1577.9318444064002</v>
      </c>
      <c r="M18" s="33" t="s">
        <v>34</v>
      </c>
      <c r="N18" s="16">
        <f>+N17*RESUMEN!$J$15*17</f>
        <v>231.27462255059996</v>
      </c>
      <c r="O18" s="33" t="s">
        <v>34</v>
      </c>
      <c r="P18" s="35">
        <f>+P17*RESUMEN!$J$15*17</f>
        <v>2934.3293862893997</v>
      </c>
    </row>
    <row r="19" spans="1:16" x14ac:dyDescent="0.25">
      <c r="A19" t="s">
        <v>39</v>
      </c>
    </row>
    <row r="20" spans="1:16" x14ac:dyDescent="0.25">
      <c r="A20" t="s">
        <v>38</v>
      </c>
    </row>
    <row r="23" spans="1:16" x14ac:dyDescent="0.25">
      <c r="A23" s="5" t="s">
        <v>51</v>
      </c>
      <c r="G23" s="65" t="s">
        <v>10</v>
      </c>
      <c r="H23" s="66"/>
      <c r="I23" s="67"/>
      <c r="J23" s="34" t="s">
        <v>4</v>
      </c>
    </row>
    <row r="24" spans="1:16" x14ac:dyDescent="0.25">
      <c r="A24" s="5"/>
      <c r="G24" s="29"/>
      <c r="H24" s="32" t="s">
        <v>32</v>
      </c>
      <c r="I24" s="28" t="s">
        <v>33</v>
      </c>
      <c r="J24" s="34"/>
    </row>
    <row r="25" spans="1:16" x14ac:dyDescent="0.25">
      <c r="A25" s="31" t="s">
        <v>44</v>
      </c>
      <c r="G25" s="15" t="s">
        <v>11</v>
      </c>
      <c r="H25" s="16">
        <v>66488</v>
      </c>
      <c r="I25" s="16">
        <v>24984</v>
      </c>
      <c r="J25" s="35">
        <f>+SUM(H25:I25)</f>
        <v>91472</v>
      </c>
    </row>
    <row r="26" spans="1:16" x14ac:dyDescent="0.25">
      <c r="A26" t="s">
        <v>52</v>
      </c>
      <c r="G26" s="15" t="s">
        <v>68</v>
      </c>
      <c r="H26" s="16">
        <f>+H25/2969</f>
        <v>22.394072078140788</v>
      </c>
      <c r="I26" s="16">
        <f>+I25/2969</f>
        <v>8.4149545301448292</v>
      </c>
      <c r="J26" s="35">
        <f t="shared" ref="J26" si="3">+J25/2969</f>
        <v>30.809026608285617</v>
      </c>
    </row>
    <row r="27" spans="1:16" ht="17.25" x14ac:dyDescent="0.25">
      <c r="A27" t="s">
        <v>53</v>
      </c>
      <c r="G27" s="15" t="s">
        <v>6</v>
      </c>
      <c r="H27" s="16">
        <f>(H25*RESUMEN!$J$14)/RESUMEN!$J$12</f>
        <v>6.1483526881720429</v>
      </c>
      <c r="I27" s="16">
        <f>(I25*RESUMEN!$J$14)/RESUMEN!$J$12</f>
        <v>2.310348387096774</v>
      </c>
      <c r="J27" s="35">
        <f>(J25*RESUMEN!$J$14)/RESUMEN!$J$12</f>
        <v>8.4587010752688165</v>
      </c>
    </row>
    <row r="28" spans="1:16" x14ac:dyDescent="0.25">
      <c r="G28" s="15" t="s">
        <v>9</v>
      </c>
      <c r="H28" s="16">
        <f>+H27*RESUMEN!$J$15*17</f>
        <v>3854.8476069551998</v>
      </c>
      <c r="I28" s="16">
        <f>+I27*RESUMEN!$J$15*17</f>
        <v>1448.5247354735998</v>
      </c>
      <c r="J28" s="35">
        <f>+J27*RESUMEN!$J$15*17</f>
        <v>5303.3723424287991</v>
      </c>
    </row>
    <row r="31" spans="1:16" x14ac:dyDescent="0.25">
      <c r="G31" s="34" t="s">
        <v>55</v>
      </c>
    </row>
    <row r="32" spans="1:16" x14ac:dyDescent="0.25">
      <c r="E32" s="36"/>
      <c r="F32" s="36" t="s">
        <v>11</v>
      </c>
      <c r="G32" s="35">
        <f>+J25+P15+J4</f>
        <v>165079.97999999998</v>
      </c>
    </row>
    <row r="33" spans="5:7" x14ac:dyDescent="0.25">
      <c r="E33" s="36"/>
      <c r="F33" s="36" t="s">
        <v>68</v>
      </c>
      <c r="G33" s="35">
        <f t="shared" ref="G33" si="4">+G32/2969</f>
        <v>55.601205793196357</v>
      </c>
    </row>
    <row r="34" spans="5:7" ht="17.25" x14ac:dyDescent="0.25">
      <c r="E34" s="36"/>
      <c r="F34" s="36" t="s">
        <v>6</v>
      </c>
      <c r="G34" s="35">
        <f>+G32/[2]Combustible!$H$11/1000</f>
        <v>37.847374186482682</v>
      </c>
    </row>
    <row r="35" spans="5:7" x14ac:dyDescent="0.25">
      <c r="E35" s="36"/>
      <c r="F35" s="36" t="s">
        <v>9</v>
      </c>
      <c r="G35" s="35">
        <f>+G34*RESUMEN!$J$15*17</f>
        <v>23729.260049276196</v>
      </c>
    </row>
  </sheetData>
  <mergeCells count="9">
    <mergeCell ref="G2:I2"/>
    <mergeCell ref="G12:I12"/>
    <mergeCell ref="K13:M13"/>
    <mergeCell ref="G23:I23"/>
    <mergeCell ref="G13:G14"/>
    <mergeCell ref="N13:O13"/>
    <mergeCell ref="H13:H14"/>
    <mergeCell ref="I13:I14"/>
    <mergeCell ref="J13:J14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C12" sqref="C12"/>
    </sheetView>
  </sheetViews>
  <sheetFormatPr baseColWidth="10" defaultRowHeight="18.75" x14ac:dyDescent="0.3"/>
  <cols>
    <col min="3" max="3" width="52" style="37" customWidth="1"/>
    <col min="4" max="4" width="29.5703125" style="37" customWidth="1"/>
    <col min="5" max="5" width="22.28515625" style="37" customWidth="1"/>
    <col min="6" max="6" width="12.7109375" style="37" bestFit="1" customWidth="1"/>
    <col min="7" max="7" width="11.42578125" style="37"/>
    <col min="8" max="8" width="17.42578125" style="37" customWidth="1"/>
    <col min="9" max="9" width="14.7109375" style="37" customWidth="1"/>
    <col min="10" max="10" width="21.7109375" style="37" bestFit="1" customWidth="1"/>
    <col min="11" max="11" width="11.42578125" style="37"/>
  </cols>
  <sheetData>
    <row r="1" spans="1:11" x14ac:dyDescent="0.3">
      <c r="A1" s="5" t="s">
        <v>20</v>
      </c>
    </row>
    <row r="6" spans="1:11" x14ac:dyDescent="0.3">
      <c r="C6" s="65" t="s">
        <v>54</v>
      </c>
      <c r="D6" s="67"/>
      <c r="J6" s="41"/>
    </row>
    <row r="7" spans="1:11" x14ac:dyDescent="0.3">
      <c r="C7" s="38" t="s">
        <v>21</v>
      </c>
      <c r="D7" s="39">
        <f>+'Proyectos Especiales'!G32+Tubos!K3+Aires!H6+'Calles Internas'!H2</f>
        <v>9053125.8496282585</v>
      </c>
      <c r="E7" s="41"/>
      <c r="F7" s="41"/>
      <c r="J7" s="41"/>
    </row>
    <row r="8" spans="1:11" x14ac:dyDescent="0.3">
      <c r="C8" s="38" t="s">
        <v>68</v>
      </c>
      <c r="D8" s="39">
        <f>+D7/2969</f>
        <v>3049.2171942163213</v>
      </c>
      <c r="J8" s="44"/>
    </row>
    <row r="9" spans="1:11" ht="21" x14ac:dyDescent="0.3">
      <c r="C9" s="38" t="s">
        <v>58</v>
      </c>
      <c r="D9" s="39">
        <f>+(D7*J14)/J12</f>
        <v>837.17077749250564</v>
      </c>
      <c r="E9" s="41"/>
      <c r="F9" s="48"/>
    </row>
    <row r="10" spans="1:11" x14ac:dyDescent="0.3">
      <c r="C10" s="72" t="s">
        <v>61</v>
      </c>
      <c r="D10" s="73"/>
      <c r="E10" s="51"/>
      <c r="F10" s="48"/>
    </row>
    <row r="11" spans="1:11" ht="21" x14ac:dyDescent="0.3">
      <c r="C11" s="38" t="s">
        <v>58</v>
      </c>
      <c r="D11" s="39">
        <f>+D7*(I11/J12)</f>
        <v>2808.4159221696268</v>
      </c>
      <c r="E11" s="41"/>
      <c r="F11" s="48"/>
      <c r="H11" s="49" t="s">
        <v>62</v>
      </c>
      <c r="I11" s="37">
        <v>2885</v>
      </c>
      <c r="J11" s="37" t="s">
        <v>60</v>
      </c>
    </row>
    <row r="12" spans="1:11" x14ac:dyDescent="0.3">
      <c r="C12" s="38" t="s">
        <v>67</v>
      </c>
      <c r="D12" s="39">
        <f>+D11*J15*17</f>
        <v>1760799.3467481341</v>
      </c>
      <c r="E12" s="44"/>
      <c r="F12" s="48"/>
      <c r="H12" s="37" t="s">
        <v>25</v>
      </c>
      <c r="I12" s="37" t="s">
        <v>22</v>
      </c>
      <c r="J12" s="41">
        <v>9300000</v>
      </c>
    </row>
    <row r="13" spans="1:11" x14ac:dyDescent="0.3">
      <c r="I13" s="37" t="s">
        <v>23</v>
      </c>
      <c r="J13" s="37">
        <v>3.9656699999999998</v>
      </c>
      <c r="K13" s="37" t="s">
        <v>24</v>
      </c>
    </row>
    <row r="14" spans="1:11" x14ac:dyDescent="0.3">
      <c r="I14" s="37" t="s">
        <v>63</v>
      </c>
      <c r="J14" s="37">
        <v>860</v>
      </c>
      <c r="K14" s="37" t="s">
        <v>59</v>
      </c>
    </row>
    <row r="15" spans="1:11" x14ac:dyDescent="0.3">
      <c r="H15" s="42"/>
      <c r="I15" s="43" t="s">
        <v>26</v>
      </c>
      <c r="J15" s="43">
        <f>+J12*J13/1000000</f>
        <v>36.880730999999997</v>
      </c>
      <c r="K15" s="40" t="s">
        <v>27</v>
      </c>
    </row>
    <row r="16" spans="1:11" x14ac:dyDescent="0.3">
      <c r="A16" t="s">
        <v>56</v>
      </c>
    </row>
    <row r="19" spans="3:11" x14ac:dyDescent="0.3">
      <c r="C19" s="47"/>
      <c r="E19" s="47"/>
    </row>
    <row r="20" spans="3:11" x14ac:dyDescent="0.3">
      <c r="C20" s="46"/>
    </row>
    <row r="23" spans="3:11" x14ac:dyDescent="0.3">
      <c r="H23" s="45"/>
    </row>
    <row r="27" spans="3:11" x14ac:dyDescent="0.3">
      <c r="H27"/>
      <c r="I27"/>
      <c r="J27"/>
      <c r="K27"/>
    </row>
    <row r="28" spans="3:11" x14ac:dyDescent="0.3">
      <c r="H28"/>
      <c r="I28"/>
      <c r="J28"/>
      <c r="K28"/>
    </row>
    <row r="29" spans="3:11" x14ac:dyDescent="0.3">
      <c r="H29"/>
      <c r="I29"/>
      <c r="J29"/>
      <c r="K29"/>
    </row>
    <row r="30" spans="3:11" x14ac:dyDescent="0.3">
      <c r="H30"/>
      <c r="I30"/>
      <c r="J30"/>
      <c r="K30"/>
    </row>
  </sheetData>
  <mergeCells count="2">
    <mergeCell ref="C6:D6"/>
    <mergeCell ref="C10:D10"/>
  </mergeCell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Aires</vt:lpstr>
      <vt:lpstr>Tubos</vt:lpstr>
      <vt:lpstr>Calles Internas</vt:lpstr>
      <vt:lpstr>Proyectos Especiales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Biurrun</dc:creator>
  <cp:lastModifiedBy>Nicolas Biurrun</cp:lastModifiedBy>
  <dcterms:created xsi:type="dcterms:W3CDTF">2015-09-30T15:46:39Z</dcterms:created>
  <dcterms:modified xsi:type="dcterms:W3CDTF">2015-12-09T16:17:03Z</dcterms:modified>
</cp:coreProperties>
</file>